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RUVV3k2/klnWbBmbvlpo7HARn8ew8k5PxAOOUJs+X0jaN+M9X2UaH8I/XN8QcMM4i9rY2DnOCM1NPbhx+1fbtw==" workbookSaltValue="wIFkhHHuH0X/PcR4e54Q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L16" i="2"/>
  <c r="X10" i="21"/>
  <c r="U9" i="17"/>
  <c r="U19" i="17" s="1"/>
  <c r="L9" i="2"/>
  <c r="AP13" i="16"/>
  <c r="V9" i="16"/>
  <c r="T18" i="17"/>
  <c r="BG15" i="13"/>
  <c r="BE16" i="13"/>
  <c r="BE15" i="13"/>
  <c r="AX20" i="20"/>
  <c r="S19" i="8" l="1"/>
  <c r="AB13" i="21"/>
  <c r="C12" i="14"/>
  <c r="K12" i="14" s="1"/>
  <c r="V10" i="16"/>
  <c r="X15" i="16"/>
  <c r="X18" i="16" s="1"/>
  <c r="L17" i="2"/>
  <c r="L12" i="2"/>
  <c r="BJ16" i="11"/>
  <c r="BM17" i="11"/>
  <c r="AQ10" i="21"/>
  <c r="BG12" i="11"/>
  <c r="BW10" i="20"/>
  <c r="BW12" i="20"/>
  <c r="BU11" i="17"/>
  <c r="BK17" i="11"/>
  <c r="BJ12" i="11"/>
  <c r="BM12" i="11"/>
  <c r="BF10" i="11"/>
  <c r="BM16" i="11"/>
  <c r="BH11" i="16"/>
  <c r="AL16" i="11"/>
  <c r="C16" i="6"/>
  <c r="BE9" i="13"/>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<sst xmlns="http://schemas.openxmlformats.org/spreadsheetml/2006/main" count="2102" uniqueCount="918">
  <si>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</si>
  <si>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</si>
  <si>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</si>
  <si>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</si>
  <si>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</si>
  <si>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</si>
  <si>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</si>
  <si>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</si>
  <si>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</si>
  <si>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</si>
  <si>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</si>
  <si>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</si>
  <si>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</si>
  <si>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</si>
  <si>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</si>
  <si>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</si>
  <si>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</si>
  <si>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</si>
  <si>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</si>
  <si>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</si>
  <si>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</si>
  <si>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</si>
  <si>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</si>
  <si>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</si>
  <si>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</si>
  <si>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</si>
  <si>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</si>
  <si>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</si>
  <si>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</si>
  <si>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</si>
  <si>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</si>
  <si>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</si>
  <si>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</si>
  <si>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</si>
  <si>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</si>
  <si>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</si>
  <si>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</si>
  <si>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</si>
  <si>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</si>
  <si>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</si>
  <si>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</si>
  <si>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</si>
  <si>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</si>
  <si>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</si>
  <si>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</si>
  <si>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</si>
  <si>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</si>
  <si>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</si>
  <si>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</si>
  <si>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</si>
  <si>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</si>
  <si>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</si>
  <si>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</si>
  <si>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</si>
  <si>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</si>
  <si>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</si>
  <si>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</si>
  <si>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</si>
  <si>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</si>
  <si>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</si>
  <si>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</si>
  <si>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</si>
  <si>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</si>
  <si>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</si>
  <si>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</si>
  <si>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</si>
  <si>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</si>
  <si>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</si>
  <si>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</si>
  <si>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</si>
  <si>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</si>
  <si>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</si>
  <si>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</si>
  <si>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</si>
  <si>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</si>
  <si>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</si>
  <si>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</si>
  <si>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</si>
  <si>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</si>
  <si>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</si>
  <si>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</si>
  <si>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</si>
  <si>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</si>
  <si>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</si>
  <si>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</si>
  <si>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</si>
  <si>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</si>
  <si>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</si>
  <si>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</si>
  <si>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</si>
  <si>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</si>
  <si>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</si>
  <si>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</si>
  <si>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</si>
  <si>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</si>
  <si>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</si>
  <si>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</si>
  <si>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</si>
  <si>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</si>
  <si>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</si>
  <si>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</si>
  <si>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</si>
  <si>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</si>
  <si>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</si>
  <si>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</si>
  <si>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</si>
  <si>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</si>
  <si>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</si>
  <si>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</si>
  <si>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</si>
  <si>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</si>
  <si>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</si>
  <si>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</si>
  <si>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</si>
  <si>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</si>
  <si>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</si>
  <si>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</si>
  <si>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</si>
  <si>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</si>
  <si>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</si>
  <si>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</si>
  <si>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</si>
  <si>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</si>
  <si>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</si>
  <si>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</si>
  <si>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</si>
  <si>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</si>
  <si>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</si>
  <si>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</si>
  <si>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</si>
  <si>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</si>
  <si>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</si>
  <si>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</si>
  <si>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</si>
  <si>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</si>
  <si>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</si>
  <si>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</si>
  <si>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</si>
  <si>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</si>
  <si>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</si>
  <si>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</si>
  <si>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</si>
  <si>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</si>
  <si>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</si>
  <si>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</si>
  <si>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</si>
  <si>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</si>
  <si>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</si>
  <si>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</si>
  <si>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</si>
  <si>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</si>
  <si>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</si>
  <si>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</si>
  <si>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</si>
  <si>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</si>
  <si>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</si>
  <si>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</si>
  <si>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</si>
  <si>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</si>
  <si>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</si>
  <si>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</si>
  <si>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</si>
  <si>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</si>
  <si>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</si>
  <si>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</si>
  <si>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</si>
  <si>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</si>
  <si>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</si>
  <si>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</si>
  <si>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</si>
  <si>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</si>
  <si>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</si>
  <si>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</si>
  <si>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</si>
  <si>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</si>
  <si>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</si>
  <si>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</si>
  <si>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</si>
  <si>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</si>
  <si>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</si>
  <si>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</si>
  <si>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</si>
  <si>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</si>
  <si>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</si>
  <si>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</si>
  <si>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</si>
  <si>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</si>
  <si>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</si>
  <si>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</si>
  <si>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</si>
  <si>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</si>
  <si>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</si>
  <si>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</si>
  <si>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</si>
  <si>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</si>
  <si>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</si>
  <si>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</si>
  <si>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</si>
  <si>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</si>
  <si>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</si>
  <si>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</si>
  <si>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</si>
  <si>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</si>
  <si>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</si>
  <si>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</si>
  <si>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</si>
  <si>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</si>
  <si>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</si>
  <si>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</si>
  <si>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</si>
  <si>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</si>
  <si>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</si>
  <si>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</si>
  <si>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</si>
  <si>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</si>
  <si>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</si>
  <si>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</si>
  <si>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</si>
  <si>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</si>
  <si>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</si>
  <si>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</si>
  <si>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</si>
  <si>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</si>
  <si>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</si>
  <si>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</si>
  <si>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</si>
  <si>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</si>
  <si>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</si>
  <si>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</si>
  <si>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</si>
  <si>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</si>
  <si>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</si>
  <si>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</si>
  <si>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</si>
  <si>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</si>
  <si>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</si>
  <si>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</si>
  <si>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</si>
  <si>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</si>
  <si>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</si>
  <si>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</si>
  <si>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</si>
  <si>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</si>
  <si>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</si>
  <si>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</si>
  <si>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</si>
  <si>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</si>
  <si>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</si>
  <si>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</si>
  <si>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</si>
  <si>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</si>
  <si>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</si>
  <si>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</si>
  <si>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</si>
  <si>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</si>
  <si>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</si>
  <si>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</si>
  <si>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</si>
  <si>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</si>
  <si>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</si>
  <si>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</si>
  <si>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</si>
  <si>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</si>
  <si>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</si>
  <si>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</si>
  <si>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</si>
  <si>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</si>
  <si>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</si>
  <si>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</si>
  <si>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</si>
  <si>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</si>
  <si>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</si>
  <si>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</si>
  <si>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</si>
  <si>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</si>
  <si>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</si>
  <si>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</si>
  <si>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</si>
  <si>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</si>
  <si>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</si>
  <si>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</si>
  <si>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</si>
  <si>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</si>
  <si>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</si>
  <si>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</si>
  <si>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</si>
  <si>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</si>
  <si>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</si>
  <si>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</si>
  <si>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</si>
  <si>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</si>
  <si>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</si>
  <si>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</si>
  <si>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</si>
  <si>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</si>
  <si>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</si>
  <si>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</si>
  <si>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</si>
  <si>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</si>
  <si>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</si>
  <si>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</si>
  <si>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</si>
  <si>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</si>
  <si>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</si>
  <si>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</si>
  <si>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</si>
  <si>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</si>
  <si>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</si>
  <si>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</si>
  <si>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</si>
  <si>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</si>
  <si>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</si>
  <si>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</si>
  <si>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</si>
  <si>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</si>
  <si>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</si>
  <si>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</si>
  <si>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</si>
  <si>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</si>
  <si>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</si>
  <si>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</si>
  <si>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</si>
  <si>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</si>
  <si>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</si>
  <si>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</si>
  <si>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</si>
  <si>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</si>
  <si>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</si>
  <si>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</si>
  <si>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</si>
  <si>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</si>
  <si>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</si>
  <si>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</si>
  <si>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</si>
  <si>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</si>
  <si>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</si>
  <si>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</si>
  <si>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</si>
  <si>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</si>
  <si>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</si>
  <si>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</si>
  <si>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</si>
  <si>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</si>
  <si>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</si>
  <si>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</si>
  <si>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</si>
  <si>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</si>
  <si>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</si>
  <si>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</si>
  <si>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</si>
  <si>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</si>
  <si>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</si>
  <si>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</si>
  <si>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</si>
  <si>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</si>
  <si>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</si>
  <si>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</si>
  <si>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</si>
  <si>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</si>
  <si>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</si>
  <si>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</si>
  <si>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</si>
  <si>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</si>
  <si>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</si>
  <si>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</si>
  <si>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</si>
  <si>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</si>
  <si>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</si>
  <si>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</si>
  <si>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</si>
  <si>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</si>
  <si>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</si>
  <si>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</si>
  <si>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</si>
  <si>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</si>
  <si>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</si>
  <si>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</si>
  <si>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</si>
  <si>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</si>
  <si>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</si>
  <si>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</si>
  <si>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</si>
  <si>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</si>
  <si>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</si>
  <si>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</si>
  <si>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</si>
  <si>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</si>
  <si>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</si>
  <si>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</si>
  <si>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</si>
  <si>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</si>
  <si>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</si>
  <si>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</si>
  <si>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</si>
  <si>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</si>
  <si>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</si>
  <si>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</si>
  <si>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</si>
  <si>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</si>
  <si>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</si>
  <si>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</si>
  <si>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</si>
  <si>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</si>
  <si>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</si>
  <si>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</si>
  <si>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</si>
  <si>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</si>
  <si>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</si>
  <si>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</si>
  <si>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</si>
  <si>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</si>
  <si>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</si>
  <si>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</si>
  <si>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</si>
  <si>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</si>
  <si>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</si>
  <si>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</si>
  <si>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</si>
  <si>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</si>
  <si>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</si>
  <si>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</si>
  <si>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</si>
  <si>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</si>
  <si>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</si>
  <si>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</si>
  <si>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</si>
  <si>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</si>
  <si>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</si>
  <si>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</si>
  <si>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</si>
  <si>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</si>
  <si>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</si>
  <si>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</si>
  <si>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</si>
  <si>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</si>
  <si>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</si>
  <si>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</si>
  <si>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</si>
  <si>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</si>
  <si>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</si>
  <si>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</si>
  <si>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</si>
  <si>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</si>
  <si>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</si>
  <si>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</si>
  <si>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</si>
  <si>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</si>
  <si>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</si>
  <si>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</si>
  <si>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</si>
  <si>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</si>
  <si>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</si>
  <si>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</si>
  <si>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</si>
  <si>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</si>
  <si>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</si>
  <si>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</si>
  <si>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</si>
  <si>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</si>
  <si>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</si>
  <si>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</si>
  <si>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</si>
  <si>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</si>
  <si>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</si>
  <si>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</si>
  <si>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</si>
  <si>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</si>
  <si>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</si>
  <si>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</si>
  <si>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</si>
  <si>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</si>
  <si>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</si>
  <si>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</si>
  <si>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</si>
  <si>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</si>
  <si>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</si>
  <si>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</si>
  <si>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</si>
  <si>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</si>
  <si>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</si>
  <si>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</si>
  <si>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</si>
  <si>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</si>
  <si>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</si>
  <si>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</si>
  <si>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</si>
  <si>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</si>
  <si>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</si>
  <si>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</si>
  <si>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</si>
  <si>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</si>
  <si>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</si>
  <si>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</si>
  <si>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</si>
  <si>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</si>
  <si>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</si>
  <si>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</si>
  <si>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</si>
  <si>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</si>
  <si>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</si>
  <si>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</si>
  <si>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</si>
  <si>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</si>
  <si>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</si>
  <si>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</si>
  <si>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</si>
  <si>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</si>
  <si>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</si>
  <si>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</si>
  <si>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</si>
  <si>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</si>
  <si>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</si>
  <si>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</si>
  <si>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</si>
  <si>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</si>
  <si>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</si>
  <si>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</si>
  <si>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</si>
  <si>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</si>
  <si>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</si>
  <si>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</si>
  <si>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</si>
  <si>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</si>
  <si>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</si>
  <si>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</si>
  <si>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</si>
  <si>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</si>
  <si>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</si>
  <si>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</si>
  <si>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</si>
  <si>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</si>
  <si>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</si>
  <si>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</si>
  <si>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</si>
  <si>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</si>
  <si>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</si>
  <si>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</si>
  <si>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</si>
  <si>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</si>
  <si>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</si>
  <si>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</si>
  <si>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</si>
  <si>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</si>
  <si>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</si>
  <si>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</si>
  <si>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</si>
  <si>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</si>
  <si>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</si>
  <si>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</si>
  <si>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</si>
  <si>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</si>
  <si>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</si>
  <si>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</si>
  <si>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</si>
  <si>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</si>
  <si>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</si>
  <si>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</si>
  <si>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</si>
  <si>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</si>
  <si>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</si>
  <si>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</si>
  <si>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</si>
  <si>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</si>
  <si>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</si>
  <si>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</si>
  <si>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</si>
  <si>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</si>
  <si>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</si>
  <si>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</si>
  <si>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</si>
  <si>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</si>
  <si>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</si>
  <si>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</si>
  <si>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</si>
  <si>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</si>
  <si>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</si>
  <si>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</si>
  <si>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</si>
  <si>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</si>
  <si>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</si>
  <si>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</si>
  <si>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</si>
  <si>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</si>
  <si>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</si>
  <si>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</si>
  <si>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</si>
  <si>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</si>
  <si>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</si>
  <si>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</si>
  <si>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</si>
  <si>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</si>
  <si>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</si>
  <si>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</si>
  <si>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</si>
  <si>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</si>
  <si>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</si>
  <si>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</si>
  <si>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</si>
  <si>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</si>
  <si>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</si>
  <si>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</si>
  <si>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</si>
  <si>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</si>
  <si>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</si>
  <si>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</si>
  <si>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</si>
  <si>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</si>
  <si>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</si>
  <si>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</si>
  <si>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</si>
  <si>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</si>
  <si>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</si>
  <si>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</si>
  <si>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</si>
  <si>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</si>
  <si>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</si>
  <si>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</si>
  <si>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</si>
  <si>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</si>
  <si>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</si>
  <si>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</si>
  <si>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</si>
  <si>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</si>
  <si>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</si>
  <si>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</si>
  <si>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</si>
  <si>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</si>
  <si>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</si>
  <si>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</si>
  <si>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</si>
  <si>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</si>
  <si>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</si>
  <si>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</si>
  <si>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</si>
  <si>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</si>
  <si>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</si>
  <si>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</si>
  <si>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</si>
  <si>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</si>
  <si>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</si>
  <si>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</si>
  <si>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</si>
  <si>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</si>
  <si>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</si>
  <si>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</si>
  <si>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</si>
  <si>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</si>
  <si>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</si>
  <si>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</si>
  <si>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</si>
  <si>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</si>
  <si>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</si>
  <si>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</si>
  <si>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</si>
  <si>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</si>
  <si>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</si>
  <si>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</si>
  <si>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</si>
  <si>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</si>
  <si>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</si>
  <si>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</si>
  <si>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</si>
  <si>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</si>
  <si>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</si>
  <si>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</si>
  <si>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</si>
  <si>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</si>
  <si>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</si>
  <si>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</si>
  <si>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</si>
  <si>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</si>
  <si>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</si>
  <si>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</si>
  <si>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</si>
  <si>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</si>
  <si>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</si>
  <si>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</si>
  <si>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</si>
  <si>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</si>
  <si>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</si>
  <si>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</si>
  <si>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</si>
  <si>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</si>
  <si>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</si>
  <si>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</si>
  <si>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</si>
  <si>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</si>
  <si>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</si>
  <si>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</si>
  <si>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</si>
  <si>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</si>
  <si>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</si>
  <si>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</si>
  <si>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</si>
  <si>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</si>
  <si>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</si>
  <si>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</si>
  <si>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</si>
  <si>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</si>
  <si>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</si>
  <si>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</si>
  <si>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</si>
  <si>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</si>
  <si>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</si>
  <si>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</si>
  <si>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</si>
  <si>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</si>
  <si>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</si>
  <si>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</si>
  <si>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</si>
  <si>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</si>
  <si>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</si>
  <si>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</si>
  <si>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</si>
  <si>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</si>
  <si>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</si>
  <si>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</si>
  <si>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</si>
  <si>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</si>
  <si>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</si>
  <si>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</si>
  <si>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</si>
  <si>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</si>
  <si>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</si>
  <si>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</si>
  <si>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</si>
  <si>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</si>
  <si>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</si>
  <si>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</si>
  <si>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</si>
  <si>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</si>
  <si>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</si>
  <si>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</si>
  <si>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</si>
  <si>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</si>
  <si>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</si>
  <si>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</si>
  <si>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</si>
  <si>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</si>
  <si>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</si>
  <si>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</si>
  <si>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</si>
  <si>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</si>
  <si>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</si>
  <si>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</si>
  <si>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</si>
  <si>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</si>
  <si>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</si>
  <si>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</si>
  <si>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</si>
  <si>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</si>
  <si>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</si>
  <si>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</si>
  <si>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</si>
  <si>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</si>
  <si>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</si>
  <si>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</si>
  <si>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</si>
  <si>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</si>
  <si>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</si>
  <si>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</si>
  <si>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</si>
  <si>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</si>
  <si>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</si>
  <si>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</si>
  <si>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</si>
  <si>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</si>
  <si>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</si>
  <si>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</si>
  <si>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</si>
  <si>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</si>
  <si>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</si>
  <si>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</si>
  <si>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</si>
  <si>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</si>
  <si>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</si>
  <si>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</si>
  <si>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</si>
  <si>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</si>
  <si>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</si>
  <si>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</si>
  <si>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</si>
  <si>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</si>
  <si>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</si>
  <si>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</si>
  <si>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</si>
  <si>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</si>
  <si>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</si>
  <si>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</si>
  <si>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</si>
  <si>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</si>
  <si>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</si>
  <si>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</si>
  <si>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</si>
  <si>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</si>
  <si>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</si>
  <si>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</si>
  <si>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</si>
  <si>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</si>
  <si>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</si>
  <si>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</si>
  <si>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</si>
  <si>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</si>
  <si>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</si>
  <si>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</si>
  <si>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</si>
  <si>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</si>
  <si>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</si>
  <si>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</si>
  <si>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</si>
  <si>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</si>
  <si>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</si>
  <si>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</si>
  <si>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</si>
  <si>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</si>
  <si>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</si>
  <si>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</si>
  <si>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</si>
  <si>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</si>
  <si>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</si>
  <si>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</si>
  <si>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</si>
  <si>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</si>
  <si>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</si>
  <si>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</si>
  <si>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</si>
  <si>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</si>
  <si>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</si>
  <si>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</si>
  <si>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</si>
  <si>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</si>
  <si>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</si>
  <si>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</si>
  <si>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</si>
  <si>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</si>
  <si>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</si>
  <si>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</si>
  <si>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</si>
  <si>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</si>
  <si>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</si>
  <si>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</si>
  <si>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</si>
  <si>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</si>
  <si>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</si>
  <si>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</si>
  <si>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</si>
  <si>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</si>
  <si>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</si>
  <si>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</si>
  <si>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</si>
  <si>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</si>
  <si>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</si>
  <si>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</si>
  <si>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</si>
  <si>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</si>
  <si>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</si>
  <si>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</si>
  <si>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</si>
  <si>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</si>
  <si>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</si>
  <si>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</si>
  <si>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</si>
  <si>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</si>
  <si>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</si>
  <si>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</si>
  <si>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</si>
  <si>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</si>
  <si>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</si>
  <si>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</si>
  <si>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</si>
  <si>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</si>
  <si>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</si>
  <si>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</si>
  <si>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</si>
  <si>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</si>
  <si>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</si>
  <si>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</si>
  <si>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</si>
  <si>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</si>
  <si>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</si>
  <si>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</si>
  <si>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</si>
  <si>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</si>
  <si>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</si>
  <si>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</si>
  <si>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</si>
  <si>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</si>
  <si>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</si>
  <si>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</si>
  <si>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</si>
  <si>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</si>
  <si>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</si>
  <si>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</si>
  <si>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</si>
  <si>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</si>
  <si>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</si>
  <si>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</si>
  <si>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</si>
  <si>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</si>
  <si>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</si>
  <si>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</si>
  <si>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</si>
  <si>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</si>
  <si>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</si>
  <si>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</si>
  <si>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</si>
  <si>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</si>
  <si>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</si>
  <si>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</si>
  <si>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</si>
  <si>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</si>
  <si>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</si>
  <si>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</si>
  <si>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</si>
  <si>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</si>
  <si>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CACERES</t>
  </si>
  <si>
    <t>Resumenes por Partidos Judiciales</t>
  </si>
  <si>
    <t>NAVALMORAL DE LA 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</si>
</sst>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SvXw5rcFaVQHsCKPWBDf/AyowHL27/z4V4LiKZsggQ8qe0f1wMqOdb4BkxwlyUDqMsR7ZQ92Ghtkj/FiPrQGA==" saltValue="usImcUZbB9YZJmgeY+t82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29.109756097560975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1108</v>
      </c>
      <c r="D16" s="225">
        <f>IF(ISNUMBER(IF(D_I="SI",Datos!I16,Datos!I16+Datos!AC16)),IF(D_I="SI",Datos!I16,Datos!I16+Datos!AC16)," - ")</f>
        <v>1137</v>
      </c>
      <c r="E16" s="226">
        <f>IF(ISNUMBER(IF(D_I="SI",Datos!J16,Datos!J16+Datos!AD16)),IF(D_I="SI",Datos!J16,Datos!J16+Datos!AD16)," - ")</f>
        <v>661</v>
      </c>
      <c r="F16" s="226">
        <f>IF(ISNUMBER(IF(D_I="SI",Datos!K16,Datos!K16+Datos!AE16)),IF(D_I="SI",Datos!K16,Datos!K16+Datos!AE16)," - ")</f>
        <v>844</v>
      </c>
      <c r="G16" s="1034" t="str">
        <f>IF(Datos!E16&lt;&gt;"",Datos!E16,Datos!D16)</f>
        <v>04</v>
      </c>
      <c r="H16" s="227">
        <f>IF(ISNUMBER(IF(D_I="SI",Datos!L16,Datos!L16+Datos!AF16)),IF(D_I="SI",Datos!L16,Datos!L16+Datos!AF16)," - ")</f>
        <v>925</v>
      </c>
      <c r="I16" s="1044" t="str">
        <f>IF(ISNUMBER(Datos!AS16/Datos!BM16),Datos!AS16/Datos!BM16," - ")</f>
        <v xml:space="preserve"> - </v>
      </c>
      <c r="J16" s="1045">
        <f>IF(ISNUMBER(Datos!BY16/Datos!CN16),Datos!BY16/Datos!CN16," - ")</f>
        <v>0</v>
      </c>
      <c r="K16" s="230">
        <f t="shared" si="3"/>
        <v>-0.1651624548736462</v>
      </c>
      <c r="L16" s="1025">
        <f>IF(ISNUMBER(NºAsuntos!I16/NºAsuntos!G16),(NºAsuntos!I16/NºAsuntos!G16)*11," - ")</f>
        <v>12.055687203791468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4</v>
      </c>
      <c r="F17" s="226">
        <f>IF(ISNUMBER(IF(D_I="SI",Datos!K17,Datos!K17+Datos!AE17)),IF(D_I="SI",Datos!K17,Datos!K17+Datos!AE17)," - ")</f>
        <v>10</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-0.46153846153846156</v>
      </c>
      <c r="L17" s="1025">
        <f>IF(ISNUMBER(NºAsuntos!I17/NºAsuntos!G17),(NºAsuntos!I17/NºAsuntos!G17)*11," - ")</f>
        <v>7.6999999999999993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1121</v>
      </c>
      <c r="D18" s="1049">
        <f>SUBTOTAL(9,D15:D17)</f>
        <v>1150</v>
      </c>
      <c r="E18" s="1050">
        <f>SUBTOTAL(9,E15:E17)</f>
        <v>665</v>
      </c>
      <c r="F18" s="1050">
        <f>SUBTOTAL(9,F15:F17)</f>
        <v>854</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1123</v>
      </c>
      <c r="D19" s="1071">
        <f>SUBTOTAL(9,D9:D18)</f>
        <v>1152</v>
      </c>
      <c r="E19" s="1072">
        <f>SUBTOTAL(9,E9:E18)</f>
        <v>665</v>
      </c>
      <c r="F19" s="1072">
        <f>SUBTOTAL(9,F9:F18)</f>
        <v>856</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DBx9iowwWz/ihDZ08mScixaQPNJTGn+d23KKRLkg0loHu9/oNpk4pnl19lvo8fXpwWezzybHih40vrGU35H5g==" saltValue="AjH5hUGVjY296RxoOBOu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mEDgTmamZO3yVINfXhkVGWEmhuEP1VnJ2TvRZTKeebY3bz8cIb+Vv+srMm5lPDkQT8/WQL1f5zlh+DTA8o2BQ==" saltValue="XpcyMl4w35BUSJEodAkc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1</v>
      </c>
      <c r="N10" s="181">
        <v>0</v>
      </c>
      <c r="O10" s="181">
        <v>2</v>
      </c>
      <c r="P10" s="181">
        <v>0</v>
      </c>
      <c r="Q10" s="181">
        <v>1</v>
      </c>
      <c r="R10" s="181">
        <v>2</v>
      </c>
      <c r="S10" s="181">
        <v>10</v>
      </c>
      <c r="T10" s="181">
        <v>0</v>
      </c>
      <c r="U10" s="181">
        <v>3</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0</v>
      </c>
      <c r="BA10" s="129">
        <f t="shared" si="0"/>
        <v>3</v>
      </c>
      <c r="BB10" s="129">
        <f t="shared" si="0"/>
        <v>7</v>
      </c>
      <c r="BC10" s="125">
        <f t="shared" si="0"/>
        <v>0</v>
      </c>
      <c r="BD10" s="126" t="str">
        <f>IF(ISNUMBER(BA10/AZ10),BA10/AZ10," - ")</f>
        <v xml:space="preserve"> - </v>
      </c>
      <c r="BE10" s="127">
        <f>IF(ISNUMBER(BB10/BA10),BB10/BA10, " - ")</f>
        <v>2.3333333333333335</v>
      </c>
      <c r="BF10" s="127">
        <f>IF(ISNUMBER(BC10/BA10),BC10/BA10, " - ")</f>
        <v>0</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1616</v>
      </c>
      <c r="J12" s="183">
        <v>714</v>
      </c>
      <c r="K12" s="183">
        <v>633</v>
      </c>
      <c r="L12" s="183">
        <v>1693</v>
      </c>
      <c r="M12" s="183">
        <v>239</v>
      </c>
      <c r="N12" s="183">
        <v>257</v>
      </c>
      <c r="O12" s="181">
        <v>254</v>
      </c>
      <c r="P12" s="183">
        <v>142</v>
      </c>
      <c r="Q12" s="183">
        <v>117</v>
      </c>
      <c r="R12" s="183">
        <v>2649</v>
      </c>
      <c r="S12" s="183">
        <v>1699</v>
      </c>
      <c r="T12" s="183">
        <v>543</v>
      </c>
      <c r="U12" s="183">
        <v>607</v>
      </c>
      <c r="V12" s="183">
        <v>1634</v>
      </c>
      <c r="W12" s="183">
        <v>143</v>
      </c>
      <c r="X12" s="189">
        <v>257</v>
      </c>
      <c r="Y12" s="191">
        <v>42</v>
      </c>
      <c r="Z12" s="181">
        <v>24</v>
      </c>
      <c r="AA12" s="181">
        <v>23</v>
      </c>
      <c r="AB12" s="181">
        <v>43</v>
      </c>
      <c r="AC12" s="183">
        <v>0</v>
      </c>
      <c r="AD12" s="183">
        <v>0</v>
      </c>
      <c r="AE12" s="183">
        <v>0</v>
      </c>
      <c r="AF12" s="189">
        <v>0</v>
      </c>
      <c r="AG12" s="202">
        <v>75</v>
      </c>
      <c r="AH12" s="183">
        <v>31</v>
      </c>
      <c r="AI12" s="183">
        <v>39</v>
      </c>
      <c r="AJ12" s="203">
        <v>67</v>
      </c>
      <c r="AK12" s="182">
        <v>0</v>
      </c>
      <c r="AL12" s="183">
        <v>0</v>
      </c>
      <c r="AM12" s="183">
        <v>0</v>
      </c>
      <c r="AN12" s="189">
        <v>0</v>
      </c>
      <c r="AO12" s="259">
        <v>3</v>
      </c>
      <c r="AP12" s="155">
        <v>3</v>
      </c>
      <c r="AQ12" s="155">
        <v>3</v>
      </c>
      <c r="AR12" s="154">
        <v>3</v>
      </c>
      <c r="AS12" s="340" t="s">
        <v>802</v>
      </c>
      <c r="AT12" s="203"/>
      <c r="AU12" s="202"/>
      <c r="AV12" s="203"/>
      <c r="AW12" s="202"/>
      <c r="AX12" s="203"/>
      <c r="AY12" s="126">
        <f t="shared" si="1"/>
        <v>1774</v>
      </c>
      <c r="AZ12" s="127">
        <f t="shared" si="1"/>
        <v>574</v>
      </c>
      <c r="BA12" s="127">
        <f t="shared" si="1"/>
        <v>646</v>
      </c>
      <c r="BB12" s="127">
        <f t="shared" si="1"/>
        <v>1701</v>
      </c>
      <c r="BC12" s="125">
        <f>IF(ISNUMBER(X12),X12," - ")</f>
        <v>257</v>
      </c>
      <c r="BD12" s="126">
        <f t="shared" si="2"/>
        <v>1.1254355400696865</v>
      </c>
      <c r="BE12" s="127">
        <f t="shared" si="3"/>
        <v>2.6331269349845203</v>
      </c>
      <c r="BF12" s="127">
        <f t="shared" si="4"/>
        <v>0.39783281733746129</v>
      </c>
      <c r="BG12" s="196">
        <f t="shared" si="5"/>
        <v>3.634674922600619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1618</v>
      </c>
      <c r="J13" s="184">
        <f t="shared" si="6"/>
        <v>714</v>
      </c>
      <c r="K13" s="184">
        <f t="shared" si="6"/>
        <v>635</v>
      </c>
      <c r="L13" s="184">
        <f t="shared" si="6"/>
        <v>1693</v>
      </c>
      <c r="M13" s="184">
        <f t="shared" si="6"/>
        <v>240</v>
      </c>
      <c r="N13" s="184">
        <f t="shared" si="6"/>
        <v>257</v>
      </c>
      <c r="O13" s="184">
        <f t="shared" si="6"/>
        <v>256</v>
      </c>
      <c r="P13" s="184">
        <f t="shared" si="6"/>
        <v>142</v>
      </c>
      <c r="Q13" s="184">
        <f t="shared" si="6"/>
        <v>118</v>
      </c>
      <c r="R13" s="184">
        <f t="shared" si="6"/>
        <v>2651</v>
      </c>
      <c r="S13" s="184">
        <f t="shared" si="6"/>
        <v>1709</v>
      </c>
      <c r="T13" s="184">
        <f t="shared" si="6"/>
        <v>543</v>
      </c>
      <c r="U13" s="184">
        <f t="shared" si="6"/>
        <v>610</v>
      </c>
      <c r="V13" s="184">
        <f t="shared" si="6"/>
        <v>1641</v>
      </c>
      <c r="W13" s="184">
        <f t="shared" si="6"/>
        <v>143</v>
      </c>
      <c r="X13" s="184">
        <f t="shared" si="6"/>
        <v>257</v>
      </c>
      <c r="Y13" s="184">
        <f t="shared" si="6"/>
        <v>42</v>
      </c>
      <c r="Z13" s="184">
        <f t="shared" si="6"/>
        <v>24</v>
      </c>
      <c r="AA13" s="184">
        <f t="shared" si="6"/>
        <v>23</v>
      </c>
      <c r="AB13" s="184">
        <f t="shared" si="6"/>
        <v>43</v>
      </c>
      <c r="AC13" s="184">
        <f t="shared" si="6"/>
        <v>0</v>
      </c>
      <c r="AD13" s="184">
        <f t="shared" si="6"/>
        <v>0</v>
      </c>
      <c r="AE13" s="184">
        <f t="shared" si="6"/>
        <v>0</v>
      </c>
      <c r="AF13" s="184">
        <f>SUBTOTAL(9,AF9:AF12)</f>
        <v>0</v>
      </c>
      <c r="AG13" s="184">
        <f t="shared" ref="AG13:AT13" si="7">SUBTOTAL(9,AG8:AG12)</f>
        <v>75</v>
      </c>
      <c r="AH13" s="184">
        <f t="shared" si="7"/>
        <v>31</v>
      </c>
      <c r="AI13" s="184">
        <f t="shared" si="7"/>
        <v>39</v>
      </c>
      <c r="AJ13" s="184">
        <f t="shared" si="7"/>
        <v>67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1784</v>
      </c>
      <c r="AZ13" s="184">
        <f>SUBTOTAL(9,AZ8:AZ12)</f>
        <v>574</v>
      </c>
      <c r="BA13" s="184">
        <f>SUBTOTAL(9,BA8:BA12)</f>
        <v>649</v>
      </c>
      <c r="BB13" s="184">
        <f>SUBTOTAL(9,BB8:BB12)</f>
        <v>1708</v>
      </c>
      <c r="BC13" s="184">
        <f>SUBTOTAL(9,BC8:BC12)</f>
        <v>257</v>
      </c>
      <c r="BD13" s="205">
        <f>IF(ISNUMBER(BA13/AZ13),BA13/AZ13," - ")</f>
        <v>1.1306620209059233</v>
      </c>
      <c r="BE13" s="206">
        <f>IF(ISNUMBER(BB13/BA13),BB13/BA13, " - ")</f>
        <v>2.6317411402157167</v>
      </c>
      <c r="BF13" s="206">
        <f>IF(ISNUMBER(BC13/BA13),BC13/BA13, " - ")</f>
        <v>0.39599383667180277</v>
      </c>
      <c r="BG13" s="207">
        <f>IF(ISNUMBER((AY13+AZ13)/BA13),(AY13+AZ13)/BA13," - ")</f>
        <v>3.6332819722650229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1137</v>
      </c>
      <c r="J16" s="183">
        <v>661</v>
      </c>
      <c r="K16" s="183">
        <v>844</v>
      </c>
      <c r="L16" s="183">
        <v>925</v>
      </c>
      <c r="M16" s="183">
        <v>114</v>
      </c>
      <c r="N16" s="183">
        <v>440</v>
      </c>
      <c r="O16" s="181">
        <v>17</v>
      </c>
      <c r="P16" s="183">
        <v>41</v>
      </c>
      <c r="Q16" s="183">
        <v>21</v>
      </c>
      <c r="R16" s="183">
        <v>136</v>
      </c>
      <c r="S16" s="183">
        <v>1405</v>
      </c>
      <c r="T16" s="183">
        <v>682</v>
      </c>
      <c r="U16" s="183">
        <v>749</v>
      </c>
      <c r="V16" s="183">
        <v>1298</v>
      </c>
      <c r="W16" s="183">
        <v>87</v>
      </c>
      <c r="X16" s="189">
        <v>477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1405</v>
      </c>
      <c r="AZ16" s="127">
        <f t="shared" si="9"/>
        <v>682</v>
      </c>
      <c r="BA16" s="127">
        <f t="shared" si="9"/>
        <v>749</v>
      </c>
      <c r="BB16" s="127">
        <f t="shared" si="9"/>
        <v>1298</v>
      </c>
      <c r="BC16" s="125">
        <f>IF(ISNUMBER(W16),W16," - ")</f>
        <v>87</v>
      </c>
      <c r="BD16" s="126">
        <f t="shared" ref="BD16" si="11">IF(ISNUMBER(BA16/AZ16),BA16/AZ16," - ")</f>
        <v>1.0982404692082111</v>
      </c>
      <c r="BE16" s="127">
        <f t="shared" ref="BE16" si="12">IF(ISNUMBER(BB16/BA16),BB16/BA16, " - ")</f>
        <v>1.7329773030707609</v>
      </c>
      <c r="BF16" s="127">
        <f t="shared" ref="BF16" si="13">IF(ISNUMBER(BC16/BA16),BC16/BA16, " - ")</f>
        <v>0.11615487316421896</v>
      </c>
      <c r="BG16" s="196">
        <f t="shared" si="10"/>
        <v>2.7863818424566089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4</v>
      </c>
      <c r="K17" s="183">
        <v>10</v>
      </c>
      <c r="L17" s="183">
        <v>7</v>
      </c>
      <c r="M17" s="183">
        <v>0</v>
      </c>
      <c r="N17" s="183">
        <v>0</v>
      </c>
      <c r="O17" s="183">
        <v>0</v>
      </c>
      <c r="P17" s="183">
        <v>0</v>
      </c>
      <c r="Q17" s="183">
        <v>0</v>
      </c>
      <c r="R17" s="183">
        <v>0</v>
      </c>
      <c r="S17" s="183">
        <v>63</v>
      </c>
      <c r="T17" s="183">
        <v>6</v>
      </c>
      <c r="U17" s="183">
        <v>27</v>
      </c>
      <c r="V17" s="183">
        <v>42</v>
      </c>
      <c r="W17" s="183">
        <v>2</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6</v>
      </c>
      <c r="BA17" s="129">
        <f t="shared" si="14"/>
        <v>27</v>
      </c>
      <c r="BB17" s="129">
        <f t="shared" si="14"/>
        <v>42</v>
      </c>
      <c r="BC17" s="125">
        <f>IF(ISNUMBER(W17),W17," - ")</f>
        <v>2</v>
      </c>
      <c r="BD17" s="126">
        <f>IF(ISNUMBER(BA17/AZ17),BA17/AZ17," - ")</f>
        <v>4.5</v>
      </c>
      <c r="BE17" s="127">
        <f>IF(ISNUMBER(BB17/BA17),BB17/BA17, " - ")</f>
        <v>1.5555555555555556</v>
      </c>
      <c r="BF17" s="127">
        <f>IF(ISNUMBER(BC17/BA17),BC17/BA17, " - ")</f>
        <v>7.407407407407407E-2</v>
      </c>
      <c r="BG17" s="196">
        <f>IF(ISNUMBER((AY17+AZ17)/BA17),(AY17+AZ17)/BA17," - ")</f>
        <v>2.5555555555555554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1150</v>
      </c>
      <c r="J18" s="184">
        <f t="shared" si="15"/>
        <v>665</v>
      </c>
      <c r="K18" s="184">
        <f t="shared" si="15"/>
        <v>854</v>
      </c>
      <c r="L18" s="184">
        <f t="shared" si="15"/>
        <v>932</v>
      </c>
      <c r="M18" s="184">
        <f t="shared" si="15"/>
        <v>114</v>
      </c>
      <c r="N18" s="184">
        <f t="shared" si="15"/>
        <v>440</v>
      </c>
      <c r="O18" s="184">
        <f t="shared" si="15"/>
        <v>17</v>
      </c>
      <c r="P18" s="184">
        <f t="shared" si="15"/>
        <v>41</v>
      </c>
      <c r="Q18" s="184">
        <f t="shared" si="15"/>
        <v>21</v>
      </c>
      <c r="R18" s="184">
        <f t="shared" si="15"/>
        <v>136</v>
      </c>
      <c r="S18" s="184">
        <f t="shared" si="15"/>
        <v>1468</v>
      </c>
      <c r="T18" s="184">
        <f t="shared" si="15"/>
        <v>688</v>
      </c>
      <c r="U18" s="184">
        <f t="shared" si="15"/>
        <v>776</v>
      </c>
      <c r="V18" s="184">
        <f t="shared" si="15"/>
        <v>1340</v>
      </c>
      <c r="W18" s="184">
        <f t="shared" si="15"/>
        <v>89</v>
      </c>
      <c r="X18" s="184">
        <f t="shared" si="15"/>
        <v>484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1468</v>
      </c>
      <c r="AZ18" s="184">
        <f>SUBTOTAL(9,AZ14:AZ17)</f>
        <v>688</v>
      </c>
      <c r="BA18" s="184">
        <f>SUBTOTAL(9,BA14:BA17)</f>
        <v>776</v>
      </c>
      <c r="BB18" s="184">
        <f>SUBTOTAL(9,BB14:BB17)</f>
        <v>1340</v>
      </c>
      <c r="BC18" s="184">
        <f>SUBTOTAL(9,BC14:BC17)</f>
        <v>89</v>
      </c>
      <c r="BD18" s="205">
        <f>IF(ISNUMBER(BA18/AZ18),BA18/AZ18," - ")</f>
        <v>1.1279069767441861</v>
      </c>
      <c r="BE18" s="206">
        <f>IF(ISNUMBER(BB18/BA18),BB18/BA18, " - ")</f>
        <v>1.7268041237113403</v>
      </c>
      <c r="BF18" s="206">
        <f>IF(ISNUMBER(BC18/BA18),BC18/BA18, " - ")</f>
        <v>0.11469072164948453</v>
      </c>
      <c r="BG18" s="207">
        <f>IF(ISNUMBER((AY18+AZ18)/BA18),(AY18+AZ18)/BA18," - ")</f>
        <v>2.7783505154639174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2768</v>
      </c>
      <c r="J19" s="134">
        <f t="shared" si="18"/>
        <v>1379</v>
      </c>
      <c r="K19" s="134">
        <f t="shared" si="18"/>
        <v>1489</v>
      </c>
      <c r="L19" s="134">
        <f t="shared" si="18"/>
        <v>2625</v>
      </c>
      <c r="M19" s="134">
        <f t="shared" si="18"/>
        <v>354</v>
      </c>
      <c r="N19" s="134">
        <f t="shared" si="18"/>
        <v>697</v>
      </c>
      <c r="O19" s="134">
        <f t="shared" si="18"/>
        <v>273</v>
      </c>
      <c r="P19" s="134">
        <f t="shared" si="18"/>
        <v>183</v>
      </c>
      <c r="Q19" s="134">
        <f t="shared" si="18"/>
        <v>139</v>
      </c>
      <c r="R19" s="134">
        <f t="shared" si="18"/>
        <v>2787</v>
      </c>
      <c r="S19" s="134">
        <f t="shared" si="18"/>
        <v>3177</v>
      </c>
      <c r="T19" s="134">
        <f t="shared" si="18"/>
        <v>1231</v>
      </c>
      <c r="U19" s="134">
        <f t="shared" si="18"/>
        <v>1386</v>
      </c>
      <c r="V19" s="134">
        <f t="shared" si="18"/>
        <v>2981</v>
      </c>
      <c r="W19" s="134">
        <f t="shared" si="18"/>
        <v>232</v>
      </c>
      <c r="X19" s="134">
        <f t="shared" si="18"/>
        <v>741</v>
      </c>
      <c r="Y19" s="134">
        <f t="shared" si="18"/>
        <v>42</v>
      </c>
      <c r="Z19" s="134">
        <f t="shared" si="18"/>
        <v>24</v>
      </c>
      <c r="AA19" s="134">
        <f t="shared" si="18"/>
        <v>23</v>
      </c>
      <c r="AB19" s="134">
        <f t="shared" si="18"/>
        <v>43</v>
      </c>
      <c r="AC19" s="134">
        <f t="shared" si="18"/>
        <v>0</v>
      </c>
      <c r="AD19" s="134">
        <f t="shared" si="18"/>
        <v>0</v>
      </c>
      <c r="AE19" s="134">
        <f t="shared" si="18"/>
        <v>0</v>
      </c>
      <c r="AF19" s="134">
        <f t="shared" si="18"/>
        <v>0</v>
      </c>
      <c r="AG19" s="134">
        <f t="shared" si="18"/>
        <v>75</v>
      </c>
      <c r="AH19" s="134">
        <f t="shared" si="18"/>
        <v>31</v>
      </c>
      <c r="AI19" s="134">
        <f t="shared" si="18"/>
        <v>39</v>
      </c>
      <c r="AJ19" s="134">
        <f t="shared" si="18"/>
        <v>67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3252</v>
      </c>
      <c r="AZ19" s="134">
        <f>SUBTOTAL(9,AZ9:AZ18)</f>
        <v>1262</v>
      </c>
      <c r="BA19" s="134">
        <f>SUBTOTAL(9,BA9:BA18)</f>
        <v>1425</v>
      </c>
      <c r="BB19" s="134">
        <f>SUBTOTAL(9,BB9:BB18)</f>
        <v>3048</v>
      </c>
      <c r="BC19" s="135">
        <f>SUBTOTAL(9,BC9:BC18)</f>
        <v>346</v>
      </c>
      <c r="BD19" s="213">
        <f>IF(ISNUMBER(BA19/AZ19),BA19/AZ19," - ")</f>
        <v>1.1291600633914423</v>
      </c>
      <c r="BE19" s="210">
        <f>IF(ISNUMBER(BB19/BA19),BB19/BA19, " - ")</f>
        <v>2.1389473684210527</v>
      </c>
      <c r="BF19" s="210">
        <f>IF(ISNUMBER(BC19/BA19),BC19/BA19, " - ")</f>
        <v>0.24280701754385964</v>
      </c>
      <c r="BG19" s="135">
        <f>IF(ISNUMBER((AY19+AZ19)/BA19),(AY19+AZ19)/BA19," - ")</f>
        <v>3.1677192982456139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iGenoThKnG5/hnl9Xbe6HxYzx7MvJH5Xc6TAvQwVlQu5yGWrwXRpt/eGDJdgjs7FmZ6g0Tz3n/48QNYmfI7Rg==" saltValue="mNUJ9CC8kjfyjdrPOMrJ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frFmNdXPxhuLbIYw6DL4fPtPmQkJvDiWKKMfXLlkkE0Perq+z+1HqzZmt3RXg1mIMVff/sH1cKutqRV37onQ==" saltValue="+dvSbd+LuVqWMSHgctor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43</v>
      </c>
      <c r="AI12" s="334" t="str">
        <f>IF(ISNUMBER(Datos!CD12),Datos!CD12,"-")</f>
        <v>-</v>
      </c>
      <c r="AJ12" s="334" t="str">
        <f>IF(ISNUMBER(Datos!EN12),Datos!EN12," - ")</f>
        <v xml:space="preserve"> - </v>
      </c>
      <c r="AK12" s="334"/>
      <c r="AL12" s="479"/>
      <c r="AM12" s="335">
        <f>IF(ISNUMBER(Datos!R12),Datos!R12," - ")</f>
        <v>2649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239</v>
      </c>
      <c r="BD12" s="229">
        <f>IF(ISNUMBER(Datos!N12),Datos!N12," - ")</f>
        <v>257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0.88888888888888884</v>
      </c>
      <c r="BH12" s="260">
        <f>IF(ISNUMBER(((IF(J_V="SI",Datos!L12/Datos!K12,(Datos!L12+Datos!AB12)/(Datos!K12+Datos!AA12)))*11)/factor_trimestre),((IF(J_V="SI",Datos!L12/Datos!K12,(Datos!L12+Datos!AB12)/(Datos!K12+Datos!AA12)))*11)/factor_trimestre," - ")</f>
        <v>7.9390243902439028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9.5274390243902437E-3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118</v>
      </c>
      <c r="AD13" s="899">
        <f t="shared" si="1"/>
        <v>0</v>
      </c>
      <c r="AE13" s="899">
        <f t="shared" si="1"/>
        <v>0</v>
      </c>
      <c r="AF13" s="899">
        <f t="shared" si="1"/>
        <v>0</v>
      </c>
      <c r="AG13" s="899">
        <f t="shared" si="1"/>
        <v>0</v>
      </c>
      <c r="AH13" s="899">
        <f t="shared" si="1"/>
        <v>43</v>
      </c>
      <c r="AI13" s="899">
        <f t="shared" si="1"/>
        <v>0</v>
      </c>
      <c r="AJ13" s="899">
        <f t="shared" si="1"/>
        <v>0</v>
      </c>
      <c r="AK13" s="899">
        <f t="shared" si="1"/>
        <v>0</v>
      </c>
      <c r="AL13" s="899">
        <f t="shared" si="1"/>
        <v>0</v>
      </c>
      <c r="AM13" s="899">
        <f t="shared" si="1"/>
        <v>2651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240</v>
      </c>
      <c r="BD13" s="899">
        <f t="shared" si="1"/>
        <v>257</v>
      </c>
      <c r="BE13" s="899">
        <f t="shared" si="1"/>
        <v>0</v>
      </c>
      <c r="BF13" s="899">
        <f t="shared" si="1"/>
        <v>0</v>
      </c>
      <c r="BG13" s="899">
        <f>IF(ISNUMBER(Datos!K13/Datos!J13),Datos!K13/Datos!J13," - ")</f>
        <v>0.88935574229691872</v>
      </c>
      <c r="BH13" s="903">
        <f>IF(ISNUMBER(((Datos!L13/Datos!K13)*11)/factor_trimestre),((Datos!L13/Datos!K13)*11)/factor_trimestre," - ")</f>
        <v>7.9984251968503948</v>
      </c>
      <c r="BI13" s="899">
        <f>IF(ISNUMBER('Resol  Asuntos'!D13/NºAsuntos!G13),'Resol  Asuntos'!D13/NºAsuntos!G13," - ")</f>
        <v>0.36474164133738601</v>
      </c>
      <c r="BJ13" s="899" t="str">
        <f>IF(ISNUMBER(Datos!CI13/Datos!CJ13),Datos!CI13/Datos!CJ13," - ")</f>
        <v xml:space="preserve"> - </v>
      </c>
      <c r="BK13" s="899">
        <f>SUBTOTAL(9,BK8:BK12)</f>
        <v>0</v>
      </c>
      <c r="BL13" s="899">
        <f>IF(ISNUMBER((I13-AB13+L13)/(F13)),(I13-AB13+L13)/(F13)," - ")</f>
        <v>-1</v>
      </c>
      <c r="BM13" s="904">
        <f>SUBTOTAL(9,BM9:BM12)</f>
        <v>-0.32380589430894308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1108</v>
      </c>
      <c r="G16" s="598">
        <f>IF(ISNUMBER(IF(D_I="SI",Datos!I16,Datos!I16+Datos!AC16)),IF(D_I="SI",Datos!I16,Datos!I16+Datos!AC16)," - ")</f>
        <v>1137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844</v>
      </c>
      <c r="AC16" s="226">
        <f>IF(ISNUMBER(Datos!Q16),Datos!Q16," - ")</f>
        <v>21</v>
      </c>
      <c r="AD16" s="334"/>
      <c r="AE16" s="484"/>
      <c r="AF16" s="596">
        <f>IF(ISNUMBER(IF(D_I="SI",Datos!L16,Datos!L16+Datos!AF16)),IF(D_I="SI",Datos!L16,Datos!L16+Datos!AF16)," - ")</f>
        <v>925</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440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1.2768532526475038</v>
      </c>
      <c r="BH16" s="260">
        <f>IF(ISNUMBER(((IF(D_I="SI",Datos!L16/Datos!K16,(Datos!L16+Datos!AF16)/(Datos!K16+Datos!AE16)))*11)/factor_trimestre),((IF(D_I="SI",Datos!L16/Datos!K16,(Datos!L16+Datos!AF16)/(Datos!K16+Datos!AE16)))*11)/factor_trimestre," - ")</f>
        <v>3.2879146919431279</v>
      </c>
      <c r="BI16" s="243">
        <f>IF(ISNUMBER('Resol  Asuntos'!D16/NºAsuntos!G16),'Resol  Asuntos'!D16/NºAsuntos!G16," - ")</f>
        <v>0.13507109004739337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2.5</v>
      </c>
      <c r="BH17" s="260">
        <f>IF(ISNUMBER(((IF(D_I="SI",Datos!L17/Datos!K17,(Datos!L17+Datos!AF17)/(Datos!K17+Datos!AE17)))*11)/factor_trimestre),((IF(D_I="SI",Datos!L17/Datos!K17,(Datos!L17+Datos!AF17)/(Datos!K17+Datos!AE17)))*11)/factor_trimestre," - ")</f>
        <v>2.1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1108</v>
      </c>
      <c r="G18" s="898">
        <f>SUBTOTAL(9,G15:G17)</f>
        <v>1150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854</v>
      </c>
      <c r="AC18" s="899">
        <f t="shared" si="4"/>
        <v>21</v>
      </c>
      <c r="AD18" s="899">
        <f t="shared" si="4"/>
        <v>0</v>
      </c>
      <c r="AE18" s="899">
        <f t="shared" si="4"/>
        <v>0</v>
      </c>
      <c r="AF18" s="899">
        <f t="shared" si="4"/>
        <v>932</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v>
      </c>
      <c r="BD18" s="899">
        <f t="shared" si="4"/>
        <v>440</v>
      </c>
      <c r="BE18" s="899">
        <f t="shared" si="4"/>
        <v>0</v>
      </c>
      <c r="BF18" s="899">
        <f t="shared" si="4"/>
        <v>0</v>
      </c>
      <c r="BG18" s="899">
        <f>IF(ISNUMBER(Datos!K18/Datos!J18),Datos!K18/Datos!J18," - ")</f>
        <v>1.2842105263157895</v>
      </c>
      <c r="BH18" s="903">
        <f>IF(ISNUMBER(((Datos!L18/Datos!K18)*11)/factor_trimestre),((Datos!L18/Datos!K18)*11)/factor_trimestre," - ")</f>
        <v>3.2740046838407495</v>
      </c>
      <c r="BI18" s="899">
        <f>SUBTOTAL(9,BI15:BI17)</f>
        <v>0.13507109004739337</v>
      </c>
      <c r="BJ18" s="899">
        <f>SUBTOTAL(9,BJ15:BJ17)</f>
        <v>0</v>
      </c>
      <c r="BK18" s="899">
        <f>SUBTOTAL(9,BK15:BK17)</f>
        <v>0</v>
      </c>
      <c r="BL18" s="899">
        <f>IF(ISNUMBER((I18-AB18+L18)/(F18)),(I18-AB18+L18)/(F18)," - ")</f>
        <v>-0.77075812274368227</v>
      </c>
      <c r="BM18" s="905">
        <f>IF(ISNUMBER((Datos!P18-Datos!Q18)/(Datos!R18-Datos!P18+Datos!Q18)),(Datos!P18-Datos!Q18)/(Datos!R18-Datos!P18+Datos!Q18)," - ")</f>
        <v>0.17241379310344829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1110</v>
      </c>
      <c r="G19" s="820">
        <f t="shared" si="6"/>
        <v>1152</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856</v>
      </c>
      <c r="AC19" s="821">
        <f t="shared" si="7"/>
        <v>139</v>
      </c>
      <c r="AD19" s="821">
        <f t="shared" si="7"/>
        <v>0</v>
      </c>
      <c r="AE19" s="821">
        <f t="shared" si="7"/>
        <v>0</v>
      </c>
      <c r="AF19" s="828">
        <f t="shared" si="7"/>
        <v>932</v>
      </c>
      <c r="AG19" s="828">
        <f t="shared" si="7"/>
        <v>0</v>
      </c>
      <c r="AH19" s="828">
        <f t="shared" si="7"/>
        <v>43</v>
      </c>
      <c r="AI19" s="828">
        <f t="shared" si="7"/>
        <v>0</v>
      </c>
      <c r="AJ19" s="821">
        <f t="shared" si="7"/>
        <v>0</v>
      </c>
      <c r="AK19" s="828">
        <f t="shared" si="7"/>
        <v>0</v>
      </c>
      <c r="AL19" s="828">
        <f t="shared" si="7"/>
        <v>0</v>
      </c>
      <c r="AM19" s="828">
        <f t="shared" si="7"/>
        <v>2787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354</v>
      </c>
      <c r="BD19" s="820">
        <f t="shared" si="7"/>
        <v>697</v>
      </c>
      <c r="BE19" s="820">
        <f t="shared" si="7"/>
        <v>0</v>
      </c>
      <c r="BF19" s="830">
        <f t="shared" si="7"/>
        <v>0</v>
      </c>
      <c r="BG19" s="915">
        <f>IF(ISNUMBER(Datos!K19/Datos!J19),Datos!K19/Datos!J19," - ")</f>
        <v>1.0797679477882522</v>
      </c>
      <c r="BH19" s="915">
        <f>IF(ISNUMBER(((Datos!L19/Datos!K19)*11)/factor_trimestre),((Datos!L19/Datos!K19)*11)/factor_trimestre," - ")</f>
        <v>5.2887844190732043</v>
      </c>
      <c r="BI19" s="813">
        <f>IF(ISNUMBER(Datos!J19/Datos!I19),Datos!J19/Datos!I19," - ")</f>
        <v>0.49819364161849711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-0.77117117117117118</v>
      </c>
      <c r="BM19" s="889">
        <f>IF(ISNUMBER((Datos!P19-Datos!Q19+R19)/(Datos!R19-Datos!P19+Datos!Q19-R19)),(Datos!P19-Datos!Q19+R19)/(Datos!R19-Datos!P19+Datos!Q19-R19)," - ")</f>
        <v>1.6040831206707983E-2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638.54939772372609</v>
      </c>
      <c r="G21" s="552">
        <f>IF(ISNUMBER(STDEV(G8:G18)),STDEV(G8:G18),"-")</f>
        <v>623.25011030885503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462.48545923088221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106.92988356862641</v>
      </c>
      <c r="BD21" s="551"/>
      <c r="BE21" s="551">
        <f>IF(ISNUMBER(STDEV(BE8:BE18)),STDEV(BE8:BE18),"-")</f>
        <v>0</v>
      </c>
      <c r="BF21" s="556">
        <f>IF(ISNUMBER(STDEV(BF8:BF18)),STDEV(BF8:BF18),"-")</f>
        <v>0</v>
      </c>
      <c r="BG21" s="775">
        <f>IF(ISNUMBER(STDEV(BG8:BG18)),STDEV(BG8:BG18),"-")</f>
        <v>0.66245756317219495</v>
      </c>
      <c r="BH21" s="776">
        <f>IF(ISNUMBER(STDEV(BH8:BH18)),STDEV(BH8:BH18),"-")</f>
        <v>3.2276176362089868</v>
      </c>
      <c r="BI21" s="249">
        <f>IF(ISNUMBER(STDEV(BI8:BI18)),STDEV(BI8:BI18),"-")</f>
        <v>0.15138856955925556</v>
      </c>
      <c r="BJ21" s="230" t="str">
        <f>IF(ISNUMBER(BL21/BM21),BL21/BM21," - ")</f>
        <v xml:space="preserve"> - </v>
      </c>
      <c r="BK21" s="575"/>
      <c r="BL21" s="559">
        <f>IF(ISNUMBER(STDEV(BL8:BL18)),STDEV(BL8:BL18),"-")</f>
        <v>0.16209848593987772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e2QH9SXcTyyDLmIjkjKi5SXCIkCbzeoQEzi2Ao1xVigcYFJITh/M1qV9OAe22jL99CKSVyZndUDFitBZ2oT/w==" saltValue="ChcE0prJNtCHfrqBjAn66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NAVALMORAL DE LA MATA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117</v>
      </c>
      <c r="AA12" s="332" t="str">
        <f>IF(ISNUMBER(IF(J_V="SI",Datos!L12,Datos!L12+Datos!AB12)-IF(Monitorios="SI",Datos!CD12,0)),
                          IF(J_V="SI",Datos!L12,Datos!L12+Datos!AB12)-IF(Monitorios="SI",Datos!CD12,0),
                          " - ")</f>
        <v xml:space="preserve"> - </v>
      </c>
      <c r="AB12" s="334"/>
      <c r="AC12" s="334"/>
      <c r="AD12" s="484"/>
      <c r="AE12" s="484">
        <f>IF(ISNUMBER(Datos!R12),Datos!R12," - ")</f>
        <v>2649</v>
      </c>
      <c r="AF12" s="229" t="str">
        <f>IF(ISNUMBER(Datos!BV12),Datos!BV12," - ")</f>
        <v xml:space="preserve"> - </v>
      </c>
      <c r="AG12" s="225" t="str">
        <f>IF(ISNUMBER(Datos!DV12),Datos!DV12," - ")</f>
        <v xml:space="preserve"> - </v>
      </c>
      <c r="AH12" s="298"/>
      <c r="AI12" s="227"/>
      <c r="AJ12" s="225">
        <f>IF(ISNUMBER(Datos!M12),Datos!M12," - ")</f>
        <v>239</v>
      </c>
      <c r="AK12" s="229">
        <f>IF(ISNUMBER(Datos!N12),Datos!N12," - ")</f>
        <v>257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7.9390243902439028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9.5274390243902437E-3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118</v>
      </c>
      <c r="AA13" s="900">
        <f t="shared" si="2"/>
        <v>0</v>
      </c>
      <c r="AB13" s="900">
        <f t="shared" si="2"/>
        <v>0</v>
      </c>
      <c r="AC13" s="900">
        <f t="shared" si="2"/>
        <v>0</v>
      </c>
      <c r="AD13" s="900">
        <f t="shared" si="2"/>
        <v>0</v>
      </c>
      <c r="AE13" s="900">
        <f t="shared" si="2"/>
        <v>2651</v>
      </c>
      <c r="AF13" s="908">
        <f t="shared" si="2"/>
        <v>0</v>
      </c>
      <c r="AG13" s="908">
        <f t="shared" si="2"/>
        <v>0</v>
      </c>
      <c r="AH13" s="908">
        <f t="shared" si="2"/>
        <v>0</v>
      </c>
      <c r="AI13" s="908">
        <f t="shared" si="2"/>
        <v>0</v>
      </c>
      <c r="AJ13" s="908">
        <f t="shared" si="2"/>
        <v>240</v>
      </c>
      <c r="AK13" s="908">
        <f t="shared" si="2"/>
        <v>257</v>
      </c>
      <c r="AL13" s="908">
        <f t="shared" si="2"/>
        <v>0</v>
      </c>
      <c r="AM13" s="908">
        <f t="shared" si="2"/>
        <v>0</v>
      </c>
      <c r="AN13" s="908">
        <f t="shared" si="2"/>
        <v>0</v>
      </c>
      <c r="AO13" s="904">
        <f>IF(ISNUMBER(((NºAsuntos!I13/NºAsuntos!G13)*11)/factor_trimestre),((NºAsuntos!I13/NºAsuntos!G13)*11)/factor_trimestre," - ")</f>
        <v>7.9148936170212769</v>
      </c>
      <c r="AP13" s="910" t="str">
        <f>IF(ISNUMBER(Datos!CI13/Datos!CJ13),Datos!CI13/Datos!CJ13," - ")</f>
        <v xml:space="preserve"> - </v>
      </c>
      <c r="AQ13" s="928">
        <f t="shared" ref="AQ13:AV13" si="3">SUBTOTAL(9,AQ9:AQ12)</f>
        <v>0</v>
      </c>
      <c r="AR13" s="928">
        <f t="shared" si="3"/>
        <v>-0.32380589430894308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1108</v>
      </c>
      <c r="G16" s="225">
        <f>IF(ISNUMBER(IF(D_I="SI",Datos!I16,Datos!I16+Datos!AC16)),IF(D_I="SI",Datos!I16,Datos!I16+Datos!AC16)," - ")</f>
        <v>1137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844</v>
      </c>
      <c r="Z16" s="619">
        <f>IF(ISNUMBER(Datos!Q16),Datos!Q16," - ")</f>
        <v>21</v>
      </c>
      <c r="AA16" s="332">
        <f>IF(ISNUMBER(IF(D_I="SI",Datos!L16,Datos!L16+Datos!AF16)),IF(D_I="SI",Datos!L16,Datos!L16+Datos!AF16)," - ")</f>
        <v>925</v>
      </c>
      <c r="AB16" s="334"/>
      <c r="AC16" s="334"/>
      <c r="AD16" s="484"/>
      <c r="AE16" s="484">
        <f>IF(ISNUMBER(Datos!R16),Datos!R16," - ")</f>
        <v>136</v>
      </c>
      <c r="AF16" s="229" t="str">
        <f>IF(ISNUMBER(Datos!BV16),Datos!BV16," - ")</f>
        <v xml:space="preserve"> - </v>
      </c>
      <c r="AG16" s="225"/>
      <c r="AH16" s="298"/>
      <c r="AI16" s="227"/>
      <c r="AJ16" s="225">
        <f>IF(ISNUMBER(Datos!M16),Datos!M16," - ")</f>
        <v>114</v>
      </c>
      <c r="AK16" s="229">
        <f>IF(ISNUMBER(Datos!N16),Datos!N16," - ")</f>
        <v>440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3.2879146919431279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1108</v>
      </c>
      <c r="G18" s="898">
        <f>SUBTOTAL(9,G15:G17)</f>
        <v>1150</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854</v>
      </c>
      <c r="Z18" s="932">
        <f t="shared" si="5"/>
        <v>21</v>
      </c>
      <c r="AA18" s="932">
        <f t="shared" si="5"/>
        <v>932</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114</v>
      </c>
      <c r="AK18" s="932">
        <f t="shared" si="5"/>
        <v>440</v>
      </c>
      <c r="AL18" s="932">
        <f t="shared" si="5"/>
        <v>0</v>
      </c>
      <c r="AM18" s="932">
        <f t="shared" si="5"/>
        <v>0</v>
      </c>
      <c r="AN18" s="932">
        <f t="shared" si="5"/>
        <v>0</v>
      </c>
      <c r="AO18" s="934">
        <f>IF(ISNUMBER(((NºAsuntos!I18/NºAsuntos!G18)*11)/factor_trimestre),((NºAsuntos!I18/NºAsuntos!G18)*11)/factor_trimestre," - ")</f>
        <v>3.2740046838407495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1110</v>
      </c>
      <c r="G19" s="820">
        <f t="shared" si="7"/>
        <v>1152</v>
      </c>
      <c r="H19" s="821">
        <f t="shared" si="7"/>
        <v>0</v>
      </c>
      <c r="I19" s="820">
        <f t="shared" si="7"/>
        <v>0</v>
      </c>
      <c r="J19" s="822">
        <f t="shared" si="7"/>
        <v>0</v>
      </c>
      <c r="K19" s="820">
        <f t="shared" si="7"/>
        <v>0</v>
      </c>
      <c r="L19" s="823">
        <f t="shared" si="7"/>
        <v>0</v>
      </c>
      <c r="M19" s="820">
        <f t="shared" si="7"/>
        <v>0</v>
      </c>
      <c r="N19" s="821">
        <f t="shared" si="7"/>
        <v>183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856</v>
      </c>
      <c r="Z19" s="827">
        <f t="shared" si="8"/>
        <v>139</v>
      </c>
      <c r="AA19" s="828">
        <f t="shared" si="8"/>
        <v>932</v>
      </c>
      <c r="AB19" s="828">
        <f t="shared" si="8"/>
        <v>0</v>
      </c>
      <c r="AC19" s="828">
        <f t="shared" si="8"/>
        <v>0</v>
      </c>
      <c r="AD19" s="829">
        <f t="shared" si="8"/>
        <v>0</v>
      </c>
      <c r="AE19" s="829">
        <f t="shared" si="8"/>
        <v>2787</v>
      </c>
      <c r="AF19" s="830">
        <f t="shared" si="8"/>
        <v>0</v>
      </c>
      <c r="AG19" s="831">
        <f t="shared" si="8"/>
        <v>0</v>
      </c>
      <c r="AH19" s="832">
        <f t="shared" si="8"/>
        <v>0</v>
      </c>
      <c r="AI19" s="830">
        <f t="shared" si="8"/>
        <v>0</v>
      </c>
      <c r="AJ19" s="820">
        <f t="shared" si="8"/>
        <v>354</v>
      </c>
      <c r="AK19" s="820">
        <f t="shared" si="8"/>
        <v>697</v>
      </c>
      <c r="AL19" s="820">
        <f t="shared" si="8"/>
        <v>0</v>
      </c>
      <c r="AM19" s="833">
        <f t="shared" si="8"/>
        <v>0</v>
      </c>
      <c r="AN19" s="823">
        <f>IF(ISNUMBER(Datos!K19/Datos!J19),Datos!K19/Datos!J19," - ")</f>
        <v>1.0797679477882522</v>
      </c>
      <c r="AO19" s="823">
        <f>IF(ISNUMBER(FIND("06",Criterios!A8,1)),(IF(ISNUMBER(((Datos!R19/Datos!Q19)*11)/factor_trimestre),((Datos!R19/Datos!Q19)*11)/factor_trimestre," - ")),(IF(ISNUMBER(((Datos!L19/Datos!K19)*11)/factor_trimestre),((Datos!L19/Datos!K19)*11)/factor_trimestre," - ")))</f>
        <v>5.2887844190732043</v>
      </c>
      <c r="AP19" s="834" t="str">
        <f>IF(ISNUMBER(Datos!CI19/Datos!CJ19),Datos!CI19/Datos!CJ19," - ")</f>
        <v xml:space="preserve"> - </v>
      </c>
      <c r="AQ19" s="834">
        <f>IF(OR(ISNUMBER(FIND("01",Criterios!A8,1)),ISNUMBER(FIND("02",Criterios!A8,1)),ISNUMBER(FIND("03",Criterios!A8,1)),ISNUMBER(FIND("04",Criterios!A8,1))),(J19-Y19+K19)/(F19-K19),(I19-Y19+K19)/(F19-K19))</f>
        <v>-0.77117117117117118</v>
      </c>
      <c r="AR19" s="834">
        <f>IF(ISNUMBER((Datos!P19-Datos!Q19+O19)/(Datos!R19-Datos!P19+Datos!Q19-O19)),(Datos!P19-Datos!Q19+O19)/(Datos!R19-Datos!P19+Datos!Q19-O19)," - ")</f>
        <v>1.6040831206707983E-2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638.54939772372609</v>
      </c>
      <c r="G21" s="552">
        <f>IF(ISNUMBER(STDEV(G8:G18)),STDEV(G8:G18),"-")</f>
        <v>623.25011030885503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106.92988356862641</v>
      </c>
      <c r="AK21" s="252"/>
      <c r="AL21" s="252">
        <f>IF(ISNUMBER(STDEV(AL8:AL18)),STDEV(AL8:AL18),"-")</f>
        <v>0</v>
      </c>
      <c r="AM21" s="254">
        <f>IF(ISNUMBER(STDEV(AM8:AM18)),STDEV(AM8:AM18),"-")</f>
        <v>0</v>
      </c>
      <c r="AN21" s="539">
        <f>IF(ISNUMBER(STDEV(AN8:AN18)),STDEV(AN8:AN18),"-")</f>
        <v>0</v>
      </c>
      <c r="AO21" s="540">
        <f>IF(ISNUMBER(STDEV(AO8:AO18)),STDEV(AO8:AO18),"-")</f>
        <v>3.2075564478360801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GCXWgMO+wzWEKXC47pJYXzWTBqyYzlxgOhCoMS6TKvtEIWkLnHUKF3bzXZmcYI0VK4lTFE4rVA+JW1Y3FUwxA==" saltValue="+m+jFa1Wy5Ruyi0bzN61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3QoNWCr9AZPhoSVFItzCRaoitvqW3d/8JvZUDnECaO6GmdxpQ0ElDaAGZTr+1FwJkWVrjncagF+bWE6reMNYQ==" saltValue="I9bxo0S59VzOYqqjy/MB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rSxHIt2Y2F38vwrGpLQYU/vQT6dSMy/aLY933PnMVLF+7rk8kpcKBaIWXFBD/b4PQxbAm2SCYjktq44qrtu+A==" saltValue="Fdgssm4K+xdOfm12E2PU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0.36474164133738601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0.25791128797077723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jXOk5Pq1OMiRRnzhLVgDGMdgqsNk/ixpVAgBAEzWT5BilSnWfsKm8E2vQo8SHTpbFexlEZgZww4jyruliKrKw==" saltValue="En8ZxDD/t3jUI47jwNlt2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Z0qPx1vbxTWnt4IzwJ8Rn2P0gA+hXVok3kmjgxBb62oH/B6U1lTJf/P2J6LBAEu/V6Ukt2OzleGe3vm0LBhaA==" saltValue="NMGC7i1Vze4FwPWW6+YQ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NAVALMORAL DE LA MATA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1658</v>
      </c>
      <c r="D12" s="404">
        <f>IF(ISNUMBER(C12/Datos!BH12),C12/Datos!BH12," - ")</f>
        <v>552.66666666666663</v>
      </c>
      <c r="E12" s="403">
        <f>IF(ISNUMBER(IF(J_V="SI",Datos!J12,Datos!J12+Datos!Z12)),IF(J_V="SI",Datos!J12,Datos!J12+Datos!Z12)," - ")</f>
        <v>738</v>
      </c>
      <c r="F12" s="404">
        <f>IF(ISNUMBER(E12/B12),E12/B12," - ")</f>
        <v>246</v>
      </c>
      <c r="G12" s="403">
        <f>IF(ISNUMBER(IF(J_V="SI",Datos!K12,Datos!K12+Datos!AA12)),IF(J_V="SI",Datos!K12,Datos!K12+Datos!AA12)," - ")</f>
        <v>656</v>
      </c>
      <c r="H12" s="404">
        <f>IF(ISNUMBER(G12/B12),G12/B12," - ")</f>
        <v>218.66666666666666</v>
      </c>
      <c r="I12" s="403">
        <f>IF(ISNUMBER(IF(J_V="SI",Datos!L12,Datos!L12+Datos!AB12)),IF(J_V="SI",Datos!L12,Datos!L12+Datos!AB12)," - ")</f>
        <v>1736</v>
      </c>
      <c r="J12" s="404">
        <f>IF(ISNUMBER(I12/B12),I12/B12," - ")</f>
        <v>578.66666666666663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1660</v>
      </c>
      <c r="D13" s="850" t="str">
        <f>IF(ISNUMBER(C13/Datos!BI13),C13/Datos!BI13," - ")</f>
        <v xml:space="preserve"> - </v>
      </c>
      <c r="E13" s="849">
        <f>SUBTOTAL(9,E8:E12)</f>
        <v>738</v>
      </c>
      <c r="F13" s="850">
        <f>IF(ISNUMBER(E13/B13),E13/B13," - ")</f>
        <v>246</v>
      </c>
      <c r="G13" s="849">
        <f>SUBTOTAL(9,G8:G12)</f>
        <v>658</v>
      </c>
      <c r="H13" s="850">
        <f>IF(ISNUMBER(G13/B13),G13/B13," - ")</f>
        <v>219.33333333333334</v>
      </c>
      <c r="I13" s="849">
        <f>SUBTOTAL(9,I8:I12)</f>
        <v>1736</v>
      </c>
      <c r="J13" s="850">
        <f>IF(ISNUMBER(I13/B13),I13/B13," - ")</f>
        <v>578.66666666666663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1137</v>
      </c>
      <c r="D16" s="404">
        <f>IF(ISNUMBER(C16/Datos!BH16),C16/Datos!BH16," - ")</f>
        <v>379</v>
      </c>
      <c r="E16" s="403">
        <f>IF(ISNUMBER(IF(D_I="SI",Datos!J16,Datos!J16+Datos!AD16)),IF(D_I="SI",Datos!J16,Datos!J16+Datos!AD16)," - ")</f>
        <v>661</v>
      </c>
      <c r="F16" s="404">
        <f>IF(ISNUMBER(E16/B16),E16/B16," - ")</f>
        <v>220.33333333333334</v>
      </c>
      <c r="G16" s="403">
        <f>IF(ISNUMBER(IF(D_I="SI",Datos!K16,Datos!K16+Datos!AE16)),IF(D_I="SI",Datos!K16,Datos!K16+Datos!AE16)," - ")</f>
        <v>844</v>
      </c>
      <c r="H16" s="404">
        <f>IF(ISNUMBER(G16/B16),G16/B16," - ")</f>
        <v>281.33333333333331</v>
      </c>
      <c r="I16" s="403">
        <f>IF(ISNUMBER(IF(D_I="SI",Datos!L16,Datos!L16+Datos!AF16)),IF(D_I="SI",Datos!L16,Datos!L16+Datos!AF16)," - ")</f>
        <v>925</v>
      </c>
      <c r="J16" s="404">
        <f>IF(ISNUMBER(I16/B16),I16/B16," - ")</f>
        <v>308.33333333333331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4</v>
      </c>
      <c r="F17" s="404">
        <f>IF(ISNUMBER(E17/B17),E17/B17," - ")</f>
        <v>4</v>
      </c>
      <c r="G17" s="403">
        <f>IF(ISNUMBER(IF(D_I="SI",Datos!K17,Datos!K17+Datos!AE17)),IF(D_I="SI",Datos!K17,Datos!K17+Datos!AE17)," - ")</f>
        <v>10</v>
      </c>
      <c r="H17" s="404">
        <f>IF(ISNUMBER(G17/B17),G17/B17," - ")</f>
        <v>10</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1150</v>
      </c>
      <c r="D18" s="850" t="str">
        <f>IF(ISNUMBER(C18/Datos!BI18),C18/Datos!BI18," - ")</f>
        <v xml:space="preserve"> - </v>
      </c>
      <c r="E18" s="849">
        <f>SUBTOTAL(9,E14:E17)</f>
        <v>665</v>
      </c>
      <c r="F18" s="850">
        <f>IF(ISNUMBER(E18/B18),E18/B18," - ")</f>
        <v>221.66666666666666</v>
      </c>
      <c r="G18" s="849">
        <f>SUBTOTAL(9,G14:G17)</f>
        <v>854</v>
      </c>
      <c r="H18" s="850">
        <f>IF(ISNUMBER(G18/B18),G18/B18," - ")</f>
        <v>284.66666666666669</v>
      </c>
      <c r="I18" s="849">
        <f>SUBTOTAL(9,I14:I17)</f>
        <v>932</v>
      </c>
      <c r="J18" s="850">
        <f>IF(ISNUMBER(I18/B18),I18/B18," - ")</f>
        <v>310.66666666666669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2810</v>
      </c>
      <c r="D19" s="795" t="str">
        <f>IF(ISNUMBER(C19/Datos!BI19),C19/Datos!BI19," - ")</f>
        <v xml:space="preserve"> - </v>
      </c>
      <c r="E19" s="794">
        <f>SUBTOTAL(9,E9:E18)</f>
        <v>1403</v>
      </c>
      <c r="F19" s="795">
        <f>IF(ISNUMBER(E19/B19),E19/B19," - ")</f>
        <v>467.66666666666669</v>
      </c>
      <c r="G19" s="794">
        <f>SUBTOTAL(9,G9:G18)</f>
        <v>1512</v>
      </c>
      <c r="H19" s="795">
        <f>IF(ISNUMBER(G19/B19),G19/B19," - ")</f>
        <v>504</v>
      </c>
      <c r="I19" s="794">
        <f>SUBTOTAL(9,I9:I18)</f>
        <v>2668</v>
      </c>
      <c r="J19" s="795">
        <f>IF(ISNUMBER(I19/B19),I19/B19," - ")</f>
        <v>889.33333333333337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NK1oSWhfCtVfWgOccRkMkaXy7+3JGblo3+gyLbW+owt51aqLYwdVx5iR+IKG2LCHlXH2/zClZ3Ji1qrtiNKWA==" saltValue="b1tXoYVfiJ59SExY6aWF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239</v>
      </c>
      <c r="AM12" s="690">
        <f>IF(ISNUMBER(Datos!N12+DatosP!N16),Datos!N12+DatosP!N16," - ")</f>
        <v>257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7.9390243902439028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9.5274390243902437E-3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117</v>
      </c>
      <c r="AE13" s="939">
        <f t="shared" si="1"/>
        <v>0</v>
      </c>
      <c r="AF13" s="939">
        <f t="shared" si="1"/>
        <v>0</v>
      </c>
      <c r="AG13" s="939">
        <f t="shared" si="1"/>
        <v>0</v>
      </c>
      <c r="AH13" s="939">
        <f t="shared" si="1"/>
        <v>2649</v>
      </c>
      <c r="AI13" s="939">
        <f t="shared" si="1"/>
        <v>0</v>
      </c>
      <c r="AJ13" s="939">
        <f t="shared" si="1"/>
        <v>0</v>
      </c>
      <c r="AK13" s="939">
        <f t="shared" si="1"/>
        <v>0</v>
      </c>
      <c r="AL13" s="939">
        <f t="shared" si="1"/>
        <v>240</v>
      </c>
      <c r="AM13" s="939">
        <f t="shared" si="1"/>
        <v>257</v>
      </c>
      <c r="AN13" s="939">
        <f t="shared" si="1"/>
        <v>0</v>
      </c>
      <c r="AO13" s="939">
        <f t="shared" si="1"/>
        <v>0</v>
      </c>
      <c r="AP13" s="944">
        <f>IF(ISNUMBER(((Datos!L13/Datos!K13)*11)/factor_trimestre),((Datos!L13/Datos!K13)*11)/factor_trimestre," - ")</f>
        <v>7.9984251968503948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9.5274390243902437E-3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3.2740046838407495</v>
      </c>
      <c r="AQ18" s="944">
        <f>IF(ISNUMBER(((Datos!M18/Datos!L18)*11)/factor_trimestre),((Datos!M18/Datos!L18)*11)/factor_trimestre," - ")</f>
        <v>0.36695278969957085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0.17241379310344829</v>
      </c>
      <c r="AW18" s="946">
        <f>IF(ISNUMBER((Datos!Q18-Datos!R18)/(Datos!S18-Datos!Q18+Datos!R18)),(Datos!Q18-Datos!R18)/(Datos!S18-Datos!Q18+Datos!R18)," - ")</f>
        <v>-7.2646873025900185E-2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117</v>
      </c>
      <c r="AE19" s="957">
        <f t="shared" si="5"/>
        <v>0</v>
      </c>
      <c r="AF19" s="958">
        <f t="shared" si="5"/>
        <v>0</v>
      </c>
      <c r="AG19" s="958">
        <f t="shared" si="5"/>
        <v>0</v>
      </c>
      <c r="AH19" s="958">
        <f t="shared" si="5"/>
        <v>2649</v>
      </c>
      <c r="AI19" s="958">
        <f t="shared" si="5"/>
        <v>0</v>
      </c>
      <c r="AJ19" s="959">
        <f t="shared" si="5"/>
        <v>0</v>
      </c>
      <c r="AK19" s="959">
        <f t="shared" si="5"/>
        <v>0</v>
      </c>
      <c r="AL19" s="951">
        <f t="shared" si="5"/>
        <v>240</v>
      </c>
      <c r="AM19" s="951">
        <f t="shared" si="5"/>
        <v>257</v>
      </c>
      <c r="AN19" s="951">
        <f t="shared" si="5"/>
        <v>0</v>
      </c>
      <c r="AO19" s="951">
        <f t="shared" si="5"/>
        <v>0</v>
      </c>
      <c r="AP19" s="951">
        <f>IF(ISNUMBER(((Datos!L19/Datos!K19)*11)/factor_trimestre),((Datos!L19/Datos!K19)*11)/factor_trimestre," - ")</f>
        <v>5.2887844190732043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1.6040831206707983E-2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137.9879221767857</v>
      </c>
      <c r="AM21" s="736"/>
      <c r="AN21" s="736">
        <f>IF(ISNUMBER(STDEV(AN8:AN18)),STDEV(AN8:AN18),"-")</f>
        <v>0</v>
      </c>
      <c r="AO21" s="742">
        <f>IF(ISNUMBER(STDEV(AO8:AO18)),STDEV(AO8:AO18),"-")</f>
        <v>0</v>
      </c>
      <c r="AP21" s="779">
        <f>IF(ISNUMBER(STDEV(AP8:AP18)),STDEV(AP8:AP18),"-")</f>
        <v>3.8923868755667512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mARHuoOavWi02wFKXpLRhcOkmOfKUrkrzCRwI1lit5Jr95Hy9Xnc0DerQTYeXkjSum4FGgJYXr0u/x8vUSxXg==" saltValue="37COQW12UjvQ9hUqV3ly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NAVALMORAL DE LA MATA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g2FBuqXTkCzU0oIW74CDENepCPK/hXJc+OKbsJczjkytVTnN4P/y+a4eHscTI8L0EyRy9Kj3ULBvsJgu/uTZg==" saltValue="NpDKhTERHQTRZk2up2k7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NAVALMORAL DE LA MATA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239</v>
      </c>
      <c r="E12" s="404">
        <f t="shared" si="0"/>
        <v>79.666666666666671</v>
      </c>
      <c r="F12" s="403">
        <f>IF(ISNUMBER(Datos!N12),Datos!N12," - ")</f>
        <v>257</v>
      </c>
      <c r="G12" s="404">
        <f t="shared" si="1"/>
        <v>85.666666666666671</v>
      </c>
      <c r="H12" s="403">
        <f>IF(ISNUMBER(Datos!O12),Datos!O12," - ")</f>
        <v>254</v>
      </c>
      <c r="I12" s="404">
        <f t="shared" si="2"/>
        <v>84.666666666666671</v>
      </c>
      <c r="BZ12" s="1186">
        <f>Datos!EZ12</f>
        <v>0</v>
      </c>
    </row>
    <row r="13" spans="1:78" ht="14.25" thickTop="1" thickBot="1">
      <c r="A13" s="848" t="str">
        <f>Datos!A13</f>
        <v>TOTAL</v>
      </c>
      <c r="B13" s="849">
        <f>Datos!AP13</f>
        <v>3</v>
      </c>
      <c r="C13" s="851">
        <f>Datos!AR13</f>
        <v>3</v>
      </c>
      <c r="D13" s="849">
        <f>SUBTOTAL(9,D9:D12)</f>
        <v>240</v>
      </c>
      <c r="E13" s="850">
        <f t="shared" si="0"/>
        <v>80</v>
      </c>
      <c r="F13" s="849">
        <f>SUBTOTAL(9,F9:F12)</f>
        <v>257</v>
      </c>
      <c r="G13" s="850">
        <f t="shared" si="1"/>
        <v>85.666666666666671</v>
      </c>
      <c r="H13" s="849">
        <f>SUBTOTAL(9,H9:H12)</f>
        <v>256</v>
      </c>
      <c r="I13" s="850">
        <f>IF(ISNUMBER(H13/B13),H13/B13," - ")</f>
        <v>85.333333333333329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114</v>
      </c>
      <c r="E16" s="404">
        <f t="shared" si="3"/>
        <v>38</v>
      </c>
      <c r="F16" s="403">
        <f>IF(ISNUMBER(Datos!N16),Datos!N16," - ")</f>
        <v>440</v>
      </c>
      <c r="G16" s="404">
        <f t="shared" si="4"/>
        <v>146.66666666666666</v>
      </c>
      <c r="H16" s="403">
        <f>IF(ISNUMBER(Datos!O16),Datos!O16," - ")</f>
        <v>17</v>
      </c>
      <c r="I16" s="404">
        <f t="shared" si="5"/>
        <v>5.666666666666667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114</v>
      </c>
      <c r="E18" s="850">
        <f t="shared" si="3"/>
        <v>38</v>
      </c>
      <c r="F18" s="849">
        <f>SUBTOTAL(9,F15:F17)</f>
        <v>440</v>
      </c>
      <c r="G18" s="850">
        <f t="shared" si="4"/>
        <v>146.66666666666666</v>
      </c>
      <c r="H18" s="849">
        <f>SUBTOTAL(9,H15:H17)</f>
        <v>17</v>
      </c>
      <c r="I18" s="850">
        <f>IF(ISNUMBER(H18/B18),H18/B18," - ")</f>
        <v>5.666666666666667</v>
      </c>
      <c r="BZ18" s="1186"/>
    </row>
    <row r="19" spans="1:78" ht="14.25" thickTop="1" thickBot="1">
      <c r="A19" s="793" t="str">
        <f>Datos!A19</f>
        <v>TOTAL JURISDICCIONES</v>
      </c>
      <c r="B19" s="794">
        <f>Datos!AP19</f>
        <v>3</v>
      </c>
      <c r="C19" s="794">
        <f>Datos!AR19</f>
        <v>3</v>
      </c>
      <c r="D19" s="794">
        <f>SUBTOTAL(9,D8:D18)</f>
        <v>354</v>
      </c>
      <c r="E19" s="795">
        <f>IF(ISNUMBER(D19/B19),D19/B19," - ")</f>
        <v>118</v>
      </c>
      <c r="F19" s="794">
        <f>SUBTOTAL(9,F8:F18)</f>
        <v>697</v>
      </c>
      <c r="G19" s="795">
        <f>IF(ISNUMBER(F19/B19),F19/B19," - ")</f>
        <v>232.33333333333334</v>
      </c>
      <c r="H19" s="794">
        <f>SUBTOTAL(9,H8:H18)</f>
        <v>273</v>
      </c>
      <c r="I19" s="795">
        <f>IF(ISNUMBER(H19/B19),H19/B19," - ")</f>
        <v>91</v>
      </c>
    </row>
    <row r="22" spans="1:78">
      <c r="A22" s="391" t="str">
        <f>Criterios!A4</f>
        <v>Fecha Informe: 27 feb. 2025</v>
      </c>
    </row>
    <row r="27" spans="1:78">
      <c r="A27" s="414"/>
    </row>
  </sheetData>
  <sheetProtection algorithmName="SHA-512" hashValue="QSNSvmJIrO4K+ysqOZ6zOLlUJzNfHdUeYwxg5jlEmLARQrF2+KoSGC50bB3ecf31do8tkWamm9YYJUV2JilVqQ==" saltValue="U3DBSRQUBFlN/i0lWf88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NAVALMORAL DE LA MATA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142</v>
      </c>
      <c r="C12" s="434">
        <f>IF(ISNUMBER(Datos!Q12),Datos!Q12," - ")</f>
        <v>117</v>
      </c>
      <c r="D12" s="408">
        <f>IF(ISNUMBER(Datos!R12),Datos!R12," - ")</f>
        <v>2649</v>
      </c>
    </row>
    <row r="13" spans="1:4" ht="14.25" thickTop="1" thickBot="1">
      <c r="A13" s="848" t="str">
        <f>Datos!A13</f>
        <v>TOTAL</v>
      </c>
      <c r="B13" s="849">
        <f>SUBTOTAL(9,B9:B12)</f>
        <v>142</v>
      </c>
      <c r="C13" s="853">
        <f>SUBTOTAL(9,C9:C12)</f>
        <v>118</v>
      </c>
      <c r="D13" s="851">
        <f>SUBTOTAL(9,D9:D12)</f>
        <v>2651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21</v>
      </c>
      <c r="D16" s="408">
        <f>IF(ISNUMBER(Datos!R16),Datos!R16," - ")</f>
        <v>136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41</v>
      </c>
      <c r="C18" s="853">
        <f>SUBTOTAL(9,C15:C17)</f>
        <v>21</v>
      </c>
      <c r="D18" s="851">
        <f>SUBTOTAL(9,D15:D17)</f>
        <v>136</v>
      </c>
    </row>
    <row r="19" spans="1:4" ht="16.5" customHeight="1" thickTop="1" thickBot="1">
      <c r="A19" s="793" t="str">
        <f>Datos!A19</f>
        <v>TOTAL JURISDICCIONES</v>
      </c>
      <c r="B19" s="798">
        <f>SUBTOTAL(9,B8:B18)</f>
        <v>183</v>
      </c>
      <c r="C19" s="799">
        <f>SUBTOTAL(9,C8:C18)</f>
        <v>139</v>
      </c>
      <c r="D19" s="800">
        <f>SUBTOTAL(9,D8:D18)</f>
        <v>2787</v>
      </c>
    </row>
    <row r="20" spans="1:4" ht="7.5" customHeight="1"/>
    <row r="21" spans="1:4" ht="6" customHeight="1"/>
    <row r="22" spans="1:4">
      <c r="A22" s="391" t="str">
        <f>Criterios!A4</f>
        <v>Fecha Informe: 27 feb. 2025</v>
      </c>
    </row>
    <row r="27" spans="1:4">
      <c r="A27" s="414"/>
    </row>
  </sheetData>
  <sheetProtection algorithmName="SHA-512" hashValue="USk5eI3YurV7ueiHGV0aDgV8pBN97O8q6jWqqVP4kGYAqYL/p18G9AV4CgobFadbXN0/wYMVDjNweD8qOpP8Cg==" saltValue="ohbLyDxBTTVE9PlYUg9t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NAVALMORAL DE LA MATA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t="str">
        <f>IF(ISNUMBER((Datos!J10-Datos!T10)/Datos!T10),(Datos!J10-Datos!T10)/Datos!T10," - ")</f>
        <v xml:space="preserve"> - </v>
      </c>
      <c r="D10" s="456">
        <f>IF(ISNUMBER((Datos!K10-Datos!U10)/Datos!U10),(Datos!K10-Datos!U10)/Datos!U10," - ")</f>
        <v>-0.33333333333333331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-0.70000000000000007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-6.538895152198422E-2</v>
      </c>
      <c r="C12" s="456">
        <f>IF(ISNUMBER(
   IF(J_V="SI",(Datos!J12-Datos!T12)/Datos!T12,(Datos!J12+Datos!Z12-(Datos!T12+Datos!AH12))/(Datos!T12+Datos!AH12))
     ),IF(J_V="SI",(Datos!J12-Datos!T12)/Datos!T12,(Datos!J12+Datos!Z12-(Datos!T12+Datos!AH12))/(Datos!T12+Datos!AH12))," - ")</f>
        <v>0.2857142857142857</v>
      </c>
      <c r="D12" s="456">
        <f>IF(ISNUMBER(
   IF(J_V="SI",(Datos!K12-Datos!U12)/Datos!U12,(Datos!K12+Datos!AA12-(Datos!U12+Datos!AI12))/(Datos!U12+Datos!AI12))
     ),IF(J_V="SI",(Datos!K12-Datos!U12)/Datos!U12,(Datos!K12+Datos!AA12-(Datos!U12+Datos!AI12))/(Datos!U12+Datos!AI12))," - ")</f>
        <v>1.5479876160990712E-2</v>
      </c>
      <c r="E12" s="456">
        <f>IF(ISNUMBER(
   IF(J_V="SI",(Datos!L12-Datos!V12)/Datos!V12,(Datos!L12+Datos!AB12-(Datos!V12+Datos!AJ12))/(Datos!V12+Datos!AJ12))
     ),IF(J_V="SI",(Datos!L12-Datos!V12)/Datos!V12,(Datos!L12+Datos!AB12-(Datos!V12+Datos!AJ12))/(Datos!V12+Datos!AJ12))," - ")</f>
        <v>2.0576131687242798E-2</v>
      </c>
      <c r="F12" s="456">
        <f>IF(ISNUMBER((Datos!M12-Datos!W12)/Datos!W12),(Datos!M12-Datos!W12)/Datos!W12," - ")</f>
        <v>0.67132867132867136</v>
      </c>
      <c r="G12" s="457">
        <f>IF(ISNUMBER((Datos!N12-Datos!X12)/Datos!X12),(Datos!N12-Datos!X12)/Datos!X12," - ")</f>
        <v>0</v>
      </c>
      <c r="H12" s="455">
        <f>IF(ISNUMBER(((NºAsuntos!G12/NºAsuntos!E12)-Datos!BD12)/Datos!BD12),((NºAsuntos!G12/NºAsuntos!E12)-Datos!BD12)/Datos!BD12," - ")</f>
        <v>-0.21018231854145178</v>
      </c>
      <c r="I12" s="456">
        <f>IF(ISNUMBER(((NºAsuntos!I12/NºAsuntos!G12)-Datos!BE12)/Datos!BE12),((NºAsuntos!I12/NºAsuntos!G12)-Datos!BE12)/Datos!BE12," - ")</f>
        <v>5.0185687042055317E-3</v>
      </c>
      <c r="J12" s="461">
        <f>IF(ISNUMBER((('Resol  Asuntos'!D12/NºAsuntos!G12)-Datos!BF12)/Datos!BF12),(('Resol  Asuntos'!D12/NºAsuntos!G12)-Datos!BF12)/Datos!BF12," - ")</f>
        <v>-8.4215146626174422E-2</v>
      </c>
      <c r="K12" s="462">
        <f>IF(ISNUMBER((((NºAsuntos!C12+NºAsuntos!E12)/NºAsuntos!G12)-Datos!BG12)/Datos!BG12),(((NºAsuntos!C12+NºAsuntos!E12)/NºAsuntos!G12)-Datos!BG12)/Datos!BG12," - ")</f>
        <v>4.8873976814725936E-3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-6.9506726457399109E-2</v>
      </c>
      <c r="C13" s="855">
        <f>IF(ISNUMBER(
   IF(J_V="SI",(Datos!J13-Datos!T13)/Datos!T13,(Datos!J13+Datos!Z13-(Datos!T13+Datos!AH13))/(Datos!T13+Datos!AH13))
     ),IF(J_V="SI",(Datos!J13-Datos!T13)/Datos!T13,(Datos!J13+Datos!Z13-(Datos!T13+Datos!AH13))/(Datos!T13+Datos!AH13))," - ")</f>
        <v>0.2857142857142857</v>
      </c>
      <c r="D13" s="855">
        <f>IF(ISNUMBER(
   IF(J_V="SI",(Datos!K13-Datos!U13)/Datos!U13,(Datos!K13+Datos!AA13-(Datos!U13+Datos!AI13))/(Datos!U13+Datos!AI13))
     ),IF(J_V="SI",(Datos!K13-Datos!U13)/Datos!U13,(Datos!K13+Datos!AA13-(Datos!U13+Datos!AI13))/(Datos!U13+Datos!AI13))," - ")</f>
        <v>1.386748844375963E-2</v>
      </c>
      <c r="E13" s="855">
        <f>IF(ISNUMBER(
   IF(J_V="SI",(Datos!L13-Datos!V13)/Datos!V13,(Datos!L13+Datos!AB13-(Datos!V13+Datos!AJ13))/(Datos!V13+Datos!AJ13))
     ),IF(J_V="SI",(Datos!L13-Datos!V13)/Datos!V13,(Datos!L13+Datos!AB13-(Datos!V13+Datos!AJ13))/(Datos!V13+Datos!AJ13))," - ")</f>
        <v>1.6393442622950821E-2</v>
      </c>
      <c r="F13" s="856">
        <f>IF(ISNUMBER((Datos!M13-Datos!W13)/Datos!W13),(Datos!M13-Datos!W13)/Datos!W13," - ")</f>
        <v>0.67832167832167833</v>
      </c>
      <c r="G13" s="857">
        <f>IF(ISNUMBER((Datos!N13-Datos!X13)/Datos!X13),(Datos!N13-Datos!X13)/Datos!X13," - ")</f>
        <v>0</v>
      </c>
      <c r="H13" s="857">
        <f>IF(ISNUMBER(((NºAsuntos!G13/NºAsuntos!E13)-Datos!BD13)/Datos!BD13),((NºAsuntos!G13/NºAsuntos!E13)-Datos!BD13)/Datos!BD13," - ")</f>
        <v>-0.21143639787707583</v>
      </c>
      <c r="I13" s="857">
        <f>IF(ISNUMBER(((NºAsuntos!I13/NºAsuntos!G13)-Datos!BE13)/Datos!BE13),((NºAsuntos!I13/NºAsuntos!G13)-Datos!BE13)/Datos!BE13," - ")</f>
        <v>2.4914046539437403E-3</v>
      </c>
      <c r="J13" s="857">
        <f>IF(ISNUMBER((('Resol  Asuntos'!D13/NºAsuntos!G13)-Datos!BF13)/Datos!BF13),(('Resol  Asuntos'!D13/NºAsuntos!G13)-Datos!BF13)/Datos!BF13," - ")</f>
        <v>-7.8920913509869545E-2</v>
      </c>
      <c r="K13" s="857">
        <f>IF(ISNUMBER((((NºAsuntos!C13+NºAsuntos!E13)/NºAsuntos!G13)-Datos!BG13)/Datos!BG13),(((NºAsuntos!C13+NºAsuntos!E13)/NºAsuntos!G13)-Datos!BG13)/Datos!BG13," - ")</f>
        <v>3.0536929188870543E-3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-0.19074733096085408</v>
      </c>
      <c r="C16" s="456">
        <f>IF(ISNUMBER(
   IF(D_I="SI",(Datos!J16-Datos!T16)/Datos!T16,(Datos!J16+Datos!AD16-(Datos!T16+Datos!AL16))/(Datos!T16+Datos!AL16))
     ),IF(D_I="SI",(Datos!J16-Datos!T16)/Datos!T16,(Datos!J16+Datos!AD16-(Datos!T16+Datos!AL16))/(Datos!T16+Datos!AL16))," - ")</f>
        <v>-3.0791788856304986E-2</v>
      </c>
      <c r="D16" s="456">
        <f>IF(ISNUMBER(
   IF(D_I="SI",(Datos!K16-Datos!U16)/Datos!U16,(Datos!K16+Datos!AE16-(Datos!U16+Datos!AM16))/(Datos!U16+Datos!AM16))
     ),IF(D_I="SI",(Datos!K16-Datos!U16)/Datos!U16,(Datos!K16+Datos!AE16-(Datos!U16+Datos!AM16))/(Datos!U16+Datos!AM16))," - ")</f>
        <v>0.12683578104138851</v>
      </c>
      <c r="E16" s="456">
        <f>IF(ISNUMBER(
   IF(D_I="SI",(Datos!L16-Datos!V16)/Datos!V16,(Datos!L16+Datos!AF16-(Datos!V16+Datos!AN16))/(Datos!V16+Datos!AN16))
     ),IF(D_I="SI",(Datos!L16-Datos!V16)/Datos!V16,(Datos!L16+Datos!AF16-(Datos!V16+Datos!AN16))/(Datos!V16+Datos!AN16))," - ")</f>
        <v>-0.28736517719568566</v>
      </c>
      <c r="F16" s="456">
        <f>IF(ISNUMBER((Datos!M16-Datos!W16)/Datos!W16),(Datos!M16-Datos!W16)/Datos!W16," - ")</f>
        <v>0.31034482758620691</v>
      </c>
      <c r="G16" s="457">
        <f>IF(ISNUMBER((Datos!N16-Datos!X16)/Datos!X16),(Datos!N16-Datos!X16)/Datos!X16," - ")</f>
        <v>-7.7568134171907763E-2</v>
      </c>
      <c r="H16" s="455">
        <f>IF(ISNUMBER(((NºAsuntos!G16/NºAsuntos!E16)-Datos!BD16)/Datos!BD16),((NºAsuntos!G16/NºAsuntos!E16)-Datos!BD16)/Datos!BD16," - ")</f>
        <v>0.16263540494739342</v>
      </c>
      <c r="I16" s="456">
        <f>IF(ISNUMBER(((NºAsuntos!I16/NºAsuntos!G16)-Datos!BE16)/Datos!BE16),((NºAsuntos!I16/NºAsuntos!G16)-Datos!BE16)/Datos!BE16," - ")</f>
        <v>-0.3675788124639438</v>
      </c>
      <c r="J16" s="461">
        <f>IF(ISNUMBER((('Resol  Asuntos'!D16/NºAsuntos!G16)-Datos!BF16)/Datos!BF16),(('Resol  Asuntos'!D16/NºAsuntos!G16)-Datos!BF16)/Datos!BF16," - ")</f>
        <v>0.16285340741951301</v>
      </c>
      <c r="K16" s="462">
        <f>IF(ISNUMBER((((NºAsuntos!C16+NºAsuntos!E16)/NºAsuntos!G16)-Datos!BG16)/Datos!BG16),(((NºAsuntos!C16+NºAsuntos!E16)/NºAsuntos!G16)-Datos!BG16)/Datos!BG16," - ")</f>
        <v>-0.23544873818288348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-0.79365079365079361</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-0.62962962962962965</v>
      </c>
      <c r="E17" s="456">
        <f>IF(ISNUMBER(
   IF(D_I="SI",(Datos!L17-Datos!V17)/Datos!V17,(Datos!L17+Datos!AF17-(Datos!V17+Datos!AN17))/(Datos!V17+Datos!AN17))
     ),IF(D_I="SI",(Datos!L17-Datos!V17)/Datos!V17,(Datos!L17+Datos!AF17-(Datos!V17+Datos!AN17))/(Datos!V17+Datos!AN17))," - ")</f>
        <v>-0.83333333333333337</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-0.44444444444444442</v>
      </c>
      <c r="I17" s="456">
        <f>IF(ISNUMBER(((NºAsuntos!I17/NºAsuntos!G17)-Datos!BE17)/Datos!BE17),((NºAsuntos!I17/NºAsuntos!G17)-Datos!BE17)/Datos!BE17," - ")</f>
        <v>-0.55000000000000004</v>
      </c>
      <c r="J17" s="461">
        <f>IF(ISNUMBER((('Resol  Asuntos'!D17/NºAsuntos!G17)-Datos!BF17)/Datos!BF17),(('Resol  Asuntos'!D17/NºAsuntos!G17)-Datos!BF17)/Datos!BF17," - ")</f>
        <v>-1</v>
      </c>
      <c r="K17" s="462">
        <f>IF(ISNUMBER((((NºAsuntos!C17+NºAsuntos!E17)/NºAsuntos!G17)-Datos!BG17)/Datos!BG17),(((NºAsuntos!C17+NºAsuntos!E17)/NºAsuntos!G17)-Datos!BG17)/Datos!BG17," - ")</f>
        <v>-0.33478260869565213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-0.21662125340599456</v>
      </c>
      <c r="C18" s="855">
        <f>IF(ISNUMBER(
   IF(Criterios!B14="SI",(Datos!J18-Datos!T18)/Datos!T18,(Datos!J18+Datos!AD18-(Datos!T18+Datos!AL18))/(Datos!T18+Datos!AL18))
     ),IF(Criterios!B14="SI",(Datos!J18-Datos!T18)/Datos!T18,(Datos!J18+Datos!AD18-(Datos!T18+Datos!AL18))/(Datos!T18+Datos!AL18))," - ")</f>
        <v>-3.3430232558139532E-2</v>
      </c>
      <c r="D18" s="855">
        <f>IF(ISNUMBER(
   IF(Criterios!B14="SI",(Datos!K18-Datos!U18)/Datos!U18,(Datos!K18+Datos!AE18-(Datos!U18+Datos!AM18))/(Datos!U18+Datos!AM18))
     ),IF(Criterios!B14="SI",(Datos!K18-Datos!U18)/Datos!U18,(Datos!K18+Datos!AE18-(Datos!U18+Datos!AM18))/(Datos!U18+Datos!AM18))," - ")</f>
        <v>0.10051546391752578</v>
      </c>
      <c r="E18" s="855">
        <f>IF(ISNUMBER(
   IF(Criterios!B14="SI",(Datos!L18-Datos!V18)/Datos!V18,(Datos!L18+Datos!AF18-(Datos!V18+Datos!AN18))/(Datos!V18+Datos!AN18))
     ),IF(Criterios!B14="SI",(Datos!L18-Datos!V18)/Datos!V18,(Datos!L18+Datos!AF18-(Datos!V18+Datos!AN18))/(Datos!V18+Datos!AN18))," - ")</f>
        <v>-0.30447761194029849</v>
      </c>
      <c r="F18" s="856">
        <f>IF(ISNUMBER((Datos!M18-Datos!W18)/Datos!W18),(Datos!M18-Datos!W18)/Datos!W18," - ")</f>
        <v>0.2808988764044944</v>
      </c>
      <c r="G18" s="857">
        <f>IF(ISNUMBER((Datos!N18-Datos!X18)/Datos!X18),(Datos!N18-Datos!X18)/Datos!X18," - ")</f>
        <v>-9.0909090909090912E-2</v>
      </c>
      <c r="H18" s="857">
        <f>IF(ISNUMBER(((NºAsuntos!G18/NºAsuntos!E18)-Datos!BD18)/Datos!BD18),((NºAsuntos!G18/NºAsuntos!E18)-Datos!BD18)/Datos!BD18," - ")</f>
        <v>0.13857840477482364</v>
      </c>
      <c r="I18" s="857">
        <f>IF(ISNUMBER(((NºAsuntos!I18/NºAsuntos!G18)-Datos!BE18)/Datos!BE18),((NºAsuntos!I18/NºAsuntos!G18)-Datos!BE18)/Datos!BE18," - ")</f>
        <v>-0.368003075955119</v>
      </c>
      <c r="J18" s="857">
        <f>IF(ISNUMBER((('Resol  Asuntos'!D18/NºAsuntos!G18)-Datos!BF18)/Datos!BF18),(('Resol  Asuntos'!D18/NºAsuntos!G18)-Datos!BF18)/Datos!BF18," - ")</f>
        <v>0.16390811251743298</v>
      </c>
      <c r="K18" s="857">
        <f>IF(ISNUMBER((((NºAsuntos!C18+NºAsuntos!E18)/NºAsuntos!G18)-Datos!BG18)/Datos!BG18),(((NºAsuntos!C18+NºAsuntos!E18)/NºAsuntos!G18)-Datos!BG18)/Datos!BG18," - ")</f>
        <v>-0.23505233475123066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-0.13591635916359163</v>
      </c>
      <c r="C19" s="802">
        <f>IF(ISNUMBER(
   IF(J_V="SI",(Datos!J19-Datos!T19)/Datos!T19,(Datos!J19+Datos!Z19-(Datos!T19+Datos!AH19))/(Datos!T19+Datos!AH19))
     ),IF(J_V="SI",(Datos!J19-Datos!T19)/Datos!T19,(Datos!J19+Datos!Z19-(Datos!T19+Datos!AH19))/(Datos!T19+Datos!AH19))," - ")</f>
        <v>0.11172741679873217</v>
      </c>
      <c r="D19" s="802">
        <f>IF(ISNUMBER(
   IF(J_V="SI",(Datos!K19-Datos!U19)/Datos!U19,(Datos!K19+Datos!AA19-(Datos!U19+Datos!AI19))/(Datos!U19+Datos!AI19))
     ),IF(J_V="SI",(Datos!K19-Datos!U19)/Datos!U19,(Datos!K19+Datos!AA19-(Datos!U19+Datos!AI19))/(Datos!U19+Datos!AI19))," - ")</f>
        <v>6.1052631578947365E-2</v>
      </c>
      <c r="E19" s="802">
        <f>IF(ISNUMBER(
   IF(J_V="SI",(Datos!L19-Datos!V19)/Datos!V19,(Datos!L19+Datos!AB19-(Datos!V19+Datos!AJ19))/(Datos!V19+Datos!AJ19))
     ),IF(J_V="SI",(Datos!L19-Datos!V19)/Datos!V19,(Datos!L19+Datos!AB19-(Datos!V19+Datos!AJ19))/(Datos!V19+Datos!AJ19))," - ")</f>
        <v>-0.12467191601049869</v>
      </c>
      <c r="F19" s="803">
        <f>IF(ISNUMBER((Datos!M19-Datos!W19)/Datos!W19),(Datos!M19-Datos!W19)/Datos!W19," - ")</f>
        <v>0.52586206896551724</v>
      </c>
      <c r="G19" s="804">
        <f>IF(ISNUMBER((Datos!N19-Datos!X19)/Datos!X19),(Datos!N19-Datos!X19)/Datos!X19," - ")</f>
        <v>-5.9379217273954114E-2</v>
      </c>
      <c r="H19" s="805">
        <f>IF(ISNUMBER((Tasas!B19-Datos!BD19)/Datos!BD19),(Tasas!B19-Datos!BD19)/Datos!BD19," - ")</f>
        <v>-4.5582023483512833E-2</v>
      </c>
      <c r="I19" s="806">
        <f>IF(ISNUMBER((Tasas!C19-Datos!BE19)/Datos!BE19),(Tasas!C19-Datos!BE19)/Datos!BE19," - ")</f>
        <v>-0.17503801608132316</v>
      </c>
      <c r="J19" s="807">
        <f>IF(ISNUMBER((Tasas!D19-Datos!BF19)/Datos!BF19),(Tasas!D19-Datos!BF19)/Datos!BF19," - ")</f>
        <v>-3.5748692540600008E-2</v>
      </c>
      <c r="K19" s="807">
        <f>IF(ISNUMBER((Tasas!E19-Datos!BG19)/Datos!BG19),(Tasas!E19-Datos!BG19)/Datos!BG19," - ")</f>
        <v>-0.12038428944166646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PwT6iE82fOoOTOzHDLPJmThPeuDC5SGG4aOGvnN8V0APntx3HCqHHQVsTvS9Og0th7vec5EWn0/wRGOUZ9Qeg==" saltValue="O8C1D88lOYn9Y1A9pcX0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NAVALMORAL DE LA MATA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0.5</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0.88888888888888884</v>
      </c>
      <c r="C12" s="443">
        <f>IF(ISNUMBER(NºAsuntos!I12/NºAsuntos!G12),NºAsuntos!I12/NºAsuntos!G12," - ")</f>
        <v>2.6463414634146343</v>
      </c>
      <c r="D12" s="444">
        <f>IF(ISNUMBER('Resol  Asuntos'!D12/NºAsuntos!G12),'Resol  Asuntos'!D12/NºAsuntos!G12," - ")</f>
        <v>0.36432926829268292</v>
      </c>
      <c r="E12" s="445">
        <f>IF(ISNUMBER((NºAsuntos!C12+NºAsuntos!E12)/NºAsuntos!G12),(NºAsuntos!C12+NºAsuntos!E12)/NºAsuntos!G12," - ")</f>
        <v>3.6524390243902438</v>
      </c>
      <c r="G12" s="463"/>
    </row>
    <row r="13" spans="1:7" ht="14.25" thickTop="1" thickBot="1">
      <c r="A13" s="848" t="str">
        <f>Datos!A13</f>
        <v>TOTAL</v>
      </c>
      <c r="B13" s="858">
        <f>IF(ISNUMBER(NºAsuntos!G13/NºAsuntos!E13),NºAsuntos!G13/NºAsuntos!E13," - ")</f>
        <v>0.89159891598915986</v>
      </c>
      <c r="C13" s="859">
        <f>IF(ISNUMBER(NºAsuntos!I13/NºAsuntos!G13),NºAsuntos!I13/NºAsuntos!G13," - ")</f>
        <v>2.6382978723404253</v>
      </c>
      <c r="D13" s="860">
        <f>IF(ISNUMBER('Resol  Asuntos'!D13/NºAsuntos!G13),'Resol  Asuntos'!D13/NºAsuntos!G13," - ")</f>
        <v>0.36474164133738601</v>
      </c>
      <c r="E13" s="861">
        <f>IF(ISNUMBER((NºAsuntos!C13+NºAsuntos!E13)/NºAsuntos!G13),(NºAsuntos!C13+NºAsuntos!E13)/NºAsuntos!G13," - ")</f>
        <v>3.6443768996960486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1.2768532526475038</v>
      </c>
      <c r="C16" s="443">
        <f>IF(ISNUMBER(NºAsuntos!I16/NºAsuntos!G16),NºAsuntos!I16/NºAsuntos!G16," - ")</f>
        <v>1.0959715639810426</v>
      </c>
      <c r="D16" s="444">
        <f>IF(ISNUMBER('Resol  Asuntos'!D16/NºAsuntos!G16),'Resol  Asuntos'!D16/NºAsuntos!G16," - ")</f>
        <v>0.13507109004739337</v>
      </c>
      <c r="E16" s="445">
        <f>IF(ISNUMBER((NºAsuntos!C16+NºAsuntos!E16)/NºAsuntos!G16),(NºAsuntos!C16+NºAsuntos!E16)/NºAsuntos!G16," - ")</f>
        <v>2.1303317535545023</v>
      </c>
      <c r="G16" s="463"/>
    </row>
    <row r="17" spans="1:7" ht="13.5" thickBot="1">
      <c r="A17" s="402" t="str">
        <f>Datos!A17</f>
        <v>Jdos. Violencia contra la mujer</v>
      </c>
      <c r="B17" s="442">
        <f>IF(ISNUMBER(NºAsuntos!G17/NºAsuntos!E17),NºAsuntos!G17/NºAsuntos!E17," - ")</f>
        <v>2.5</v>
      </c>
      <c r="C17" s="443">
        <f>IF(ISNUMBER(NºAsuntos!I17/NºAsuntos!G17),NºAsuntos!I17/NºAsuntos!G17," - ")</f>
        <v>0.7</v>
      </c>
      <c r="D17" s="444">
        <f>IF(ISNUMBER('Resol  Asuntos'!D17/NºAsuntos!G17),'Resol  Asuntos'!D17/NºAsuntos!G17," - ")</f>
        <v>0</v>
      </c>
      <c r="E17" s="445">
        <f>IF(ISNUMBER((NºAsuntos!C17+NºAsuntos!E17)/NºAsuntos!G17),(NºAsuntos!C17+NºAsuntos!E17)/NºAsuntos!G17," - ")</f>
        <v>1.7</v>
      </c>
      <c r="G17" s="463"/>
    </row>
    <row r="18" spans="1:7" ht="14.25" thickTop="1" thickBot="1">
      <c r="A18" s="848" t="str">
        <f>Datos!A18</f>
        <v>TOTAL</v>
      </c>
      <c r="B18" s="858">
        <f>IF(ISNUMBER(NºAsuntos!G18/NºAsuntos!E18),NºAsuntos!G18/NºAsuntos!E18," - ")</f>
        <v>1.2842105263157895</v>
      </c>
      <c r="C18" s="859">
        <f>IF(ISNUMBER(NºAsuntos!I18/NºAsuntos!G18),NºAsuntos!I18/NºAsuntos!G18," - ")</f>
        <v>1.0913348946135832</v>
      </c>
      <c r="D18" s="862">
        <f>IF(ISNUMBER('Resol  Asuntos'!D18/NºAsuntos!G18),'Resol  Asuntos'!D18/NºAsuntos!G18," - ")</f>
        <v>0.13348946135831383</v>
      </c>
      <c r="E18" s="861">
        <f>IF(ISNUMBER((NºAsuntos!C18+NºAsuntos!E18)/NºAsuntos!G18),(NºAsuntos!C18+NºAsuntos!E18)/NºAsuntos!G18," - ")</f>
        <v>2.1252927400468384</v>
      </c>
      <c r="G18" s="463"/>
    </row>
    <row r="19" spans="1:7" ht="15.75" customHeight="1" thickTop="1" thickBot="1">
      <c r="A19" s="793" t="str">
        <f>Datos!A19</f>
        <v>TOTAL JURISDICCIONES</v>
      </c>
      <c r="B19" s="808">
        <f>IF(ISNUMBER(NºAsuntos!G19/NºAsuntos!E19),NºAsuntos!G19/NºAsuntos!E19," - ")</f>
        <v>1.0776906628652887</v>
      </c>
      <c r="C19" s="809">
        <f>IF(ISNUMBER(NºAsuntos!I19/NºAsuntos!G19),NºAsuntos!I19/NºAsuntos!G19," - ")</f>
        <v>1.7645502645502646</v>
      </c>
      <c r="D19" s="810">
        <f>IF(ISNUMBER('Resol  Asuntos'!D19/NºAsuntos!G19),'Resol  Asuntos'!D19/NºAsuntos!G19," - ")</f>
        <v>0.23412698412698413</v>
      </c>
      <c r="E19" s="811">
        <f>IF(ISNUMBER((NºAsuntos!C19+NºAsuntos!E19)/NºAsuntos!G19),(NºAsuntos!C19+NºAsuntos!E19)/NºAsuntos!G19," - ")</f>
        <v>2.7863756613756614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gJMQ4rBuNdRI/6t9mjT7tUDu3DawswbH0t9Ggv0dDevNERK/QRJrHxLCb0abxDhuNLK0Vi63JksDL5EgVSADw==" saltValue="/oJ1Jg6TjpP5qGEheicZ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NAVALMORAL DE LA MATA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0</v>
      </c>
      <c r="AB10" s="334">
        <f>IF(ISNUMBER(Datos!R10),Datos!R10," - ")</f>
        <v>2</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0.5</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117</v>
      </c>
      <c r="Y12" s="334">
        <f t="shared" si="0"/>
        <v>117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239</v>
      </c>
      <c r="AJ12" s="229" t="str">
        <f>IF(ISNUMBER(Datos!BW12),Datos!BW12," - ")</f>
        <v xml:space="preserve"> - </v>
      </c>
      <c r="AK12" s="228" t="str">
        <f>IF(ISNUMBER(Datos!BX12),Datos!BX12," - ")</f>
        <v xml:space="preserve"> - </v>
      </c>
      <c r="AL12" s="243">
        <f>IF(ISNUMBER(NºAsuntos!G12/NºAsuntos!E12),NºAsuntos!G12/NºAsuntos!E12," - ")</f>
        <v>0.88888888888888884</v>
      </c>
      <c r="AM12" s="260">
        <f>IF(ISNUMBER(((NºAsuntos!I12/NºAsuntos!G12)*11)/factor_trimestre),((NºAsuntos!I12/NºAsuntos!G12)*11)/factor_trimestre," - ")</f>
        <v>7.9390243902439028</v>
      </c>
      <c r="AN12" s="244">
        <f>IF(ISNUMBER('Resol  Asuntos'!D12/NºAsuntos!G12),'Resol  Asuntos'!D12/NºAsuntos!G12," - ")</f>
        <v>0.36432926829268292</v>
      </c>
      <c r="AO12" s="245">
        <f>IF(ISNUMBER((NºAsuntos!C12+NºAsuntos!E12)/NºAsuntos!G12),(NºAsuntos!C12+NºAsuntos!E12)/NºAsuntos!G12," - ")</f>
        <v>3.6524390243902438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v>
      </c>
      <c r="G13" s="866">
        <f t="shared" si="3"/>
        <v>2</v>
      </c>
      <c r="H13" s="865">
        <f t="shared" si="3"/>
        <v>0</v>
      </c>
      <c r="I13" s="867">
        <f t="shared" si="3"/>
        <v>0</v>
      </c>
      <c r="J13" s="867">
        <f t="shared" si="3"/>
        <v>0</v>
      </c>
      <c r="K13" s="867">
        <f t="shared" si="3"/>
        <v>0</v>
      </c>
      <c r="L13" s="867">
        <f t="shared" si="3"/>
        <v>142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118</v>
      </c>
      <c r="Y13" s="868">
        <f t="shared" si="4"/>
        <v>120</v>
      </c>
      <c r="Z13" s="868">
        <f t="shared" si="4"/>
        <v>0</v>
      </c>
      <c r="AA13" s="868">
        <f t="shared" si="4"/>
        <v>0</v>
      </c>
      <c r="AB13" s="868">
        <f t="shared" si="4"/>
        <v>2651</v>
      </c>
      <c r="AC13" s="868">
        <f t="shared" si="4"/>
        <v>2</v>
      </c>
      <c r="AD13" s="868">
        <f t="shared" si="4"/>
        <v>0</v>
      </c>
      <c r="AE13" s="872">
        <f t="shared" si="4"/>
        <v>0</v>
      </c>
      <c r="AF13" s="865">
        <f t="shared" si="4"/>
        <v>0</v>
      </c>
      <c r="AG13" s="873">
        <f t="shared" si="4"/>
        <v>0</v>
      </c>
      <c r="AH13" s="870">
        <f t="shared" si="4"/>
        <v>0</v>
      </c>
      <c r="AI13" s="865">
        <f t="shared" si="4"/>
        <v>240</v>
      </c>
      <c r="AJ13" s="867">
        <f t="shared" si="4"/>
        <v>0</v>
      </c>
      <c r="AK13" s="870">
        <f>SUBTOTAL(9,AK9:AK12)</f>
        <v>0</v>
      </c>
      <c r="AL13" s="874">
        <f>IF(ISNUMBER(NºAsuntos!G13/NºAsuntos!E13),NºAsuntos!G13/NºAsuntos!E13," - ")</f>
        <v>0.89159891598915986</v>
      </c>
      <c r="AM13" s="874">
        <f>IF(ISNUMBER(((NºAsuntos!I13/NºAsuntos!G13)*11)/factor_trimestre),((NºAsuntos!I13/NºAsuntos!G13)*11)/factor_trimestre," - ")</f>
        <v>7.9148936170212769</v>
      </c>
      <c r="AN13" s="875">
        <f>IF(ISNUMBER('Resol  Asuntos'!D13/NºAsuntos!G13),'Resol  Asuntos'!D13/NºAsuntos!G13," - ")</f>
        <v>0.36474164133738601</v>
      </c>
      <c r="AO13" s="876">
        <f>IF(ISNUMBER((NºAsuntos!C13+NºAsuntos!E13)/NºAsuntos!G13),(NºAsuntos!C13+NºAsuntos!E13)/NºAsuntos!G13," - ")</f>
        <v>3.6443768996960486</v>
      </c>
      <c r="AP13" s="877" t="str">
        <f t="shared" si="2"/>
        <v xml:space="preserve"> - </v>
      </c>
      <c r="AQ13" s="877">
        <f>IF(ISNUMBER((H13-W13+K13)/(F13)),(H13-W13+K13)/(F13)," - ")</f>
        <v>-1</v>
      </c>
      <c r="AR13" s="878">
        <f>IF(ISNUMBER((Datos!P13-Datos!Q13)/(Datos!R13-Datos!P13+Datos!Q13)),(Datos!P13-Datos!Q13)/(Datos!R13-Datos!P13+Datos!Q13)," - ")</f>
        <v>9.1358964598401218E-3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1108</v>
      </c>
      <c r="G16" s="333">
        <f>IF(ISNUMBER(IF(D_I="SI",Datos!I16,Datos!I16+Datos!AC16)),IF(D_I="SI",Datos!I16,Datos!I16+Datos!AC16)," - ")</f>
        <v>1137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844</v>
      </c>
      <c r="X16" s="226">
        <f>IF(ISNUMBER(Datos!Q16),Datos!Q16," - ")</f>
        <v>21</v>
      </c>
      <c r="Y16" s="334">
        <f t="shared" ref="Y16:Y17" si="7">SUM(W16:X16)</f>
        <v>865</v>
      </c>
      <c r="Z16" s="335" t="str">
        <f>IF(ISNUMBER(Datos!CC16),Datos!CC16," - ")</f>
        <v xml:space="preserve"> - </v>
      </c>
      <c r="AA16" s="332">
        <f>IF(ISNUMBER(IF(D_I="SI",Datos!L16,Datos!L16+Datos!AF16)),IF(D_I="SI",Datos!L16,Datos!L16+Datos!AF16)," - ")</f>
        <v>925</v>
      </c>
      <c r="AB16" s="334">
        <f>IF(ISNUMBER(Datos!R16),Datos!R16," - ")</f>
        <v>136</v>
      </c>
      <c r="AC16" s="334">
        <f t="shared" si="6"/>
        <v>1061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1.2768532526475038</v>
      </c>
      <c r="AM16" s="260">
        <f>IF(ISNUMBER(((NºAsuntos!I16/NºAsuntos!G16)*11)/factor_trimestre),((NºAsuntos!I16/NºAsuntos!G16)*11)/factor_trimestre," - ")</f>
        <v>3.2879146919431279</v>
      </c>
      <c r="AN16" s="244">
        <f>IF(ISNUMBER('Resol  Asuntos'!D16/NºAsuntos!G16),'Resol  Asuntos'!D16/NºAsuntos!G16," - ")</f>
        <v>0.13507109004739337</v>
      </c>
      <c r="AO16" s="245">
        <f>IF(ISNUMBER((NºAsuntos!C16+NºAsuntos!E16)/NºAsuntos!G16),(NºAsuntos!C16+NºAsuntos!E16)/NºAsuntos!G16," - ")</f>
        <v>2.1303317535545023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2.5</v>
      </c>
      <c r="AM17" s="260">
        <f>IF(ISNUMBER(((NºAsuntos!I17/NºAsuntos!G17)*11)/factor_trimestre),((NºAsuntos!I17/NºAsuntos!G17)*11)/factor_trimestre," - ")</f>
        <v>2.1</v>
      </c>
      <c r="AN17" s="244">
        <f>IF(ISNUMBER('Resol  Asuntos'!D17/NºAsuntos!G17),'Resol  Asuntos'!D17/NºAsuntos!G17," - ")</f>
        <v>0</v>
      </c>
      <c r="AO17" s="245">
        <f>IF(ISNUMBER((NºAsuntos!C17+NºAsuntos!E17)/NºAsuntos!G17),(NºAsuntos!C17+NºAsuntos!E17)/NºAsuntos!G17," - ")</f>
        <v>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1108</v>
      </c>
      <c r="G18" s="866">
        <f>SUBTOTAL(9,G15:G17)</f>
        <v>1150</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854</v>
      </c>
      <c r="X18" s="867">
        <f t="shared" si="11"/>
        <v>21</v>
      </c>
      <c r="Y18" s="868">
        <f t="shared" si="11"/>
        <v>875</v>
      </c>
      <c r="Z18" s="868">
        <f t="shared" si="11"/>
        <v>0</v>
      </c>
      <c r="AA18" s="868">
        <f t="shared" si="11"/>
        <v>932</v>
      </c>
      <c r="AB18" s="868">
        <f t="shared" si="11"/>
        <v>136</v>
      </c>
      <c r="AC18" s="868">
        <f t="shared" si="11"/>
        <v>1068</v>
      </c>
      <c r="AD18" s="868">
        <f t="shared" si="11"/>
        <v>0</v>
      </c>
      <c r="AE18" s="872">
        <f t="shared" si="11"/>
        <v>0</v>
      </c>
      <c r="AF18" s="865">
        <f t="shared" si="11"/>
        <v>0</v>
      </c>
      <c r="AG18" s="873">
        <f t="shared" si="11"/>
        <v>0</v>
      </c>
      <c r="AH18" s="870">
        <f t="shared" si="11"/>
        <v>0</v>
      </c>
      <c r="AI18" s="865">
        <f t="shared" si="11"/>
        <v>114</v>
      </c>
      <c r="AJ18" s="867">
        <f t="shared" si="11"/>
        <v>0</v>
      </c>
      <c r="AK18" s="870">
        <f t="shared" si="11"/>
        <v>0</v>
      </c>
      <c r="AL18" s="874">
        <f>IF(ISNUMBER(NºAsuntos!G18/NºAsuntos!E18),NºAsuntos!G18/NºAsuntos!E18," - ")</f>
        <v>1.2842105263157895</v>
      </c>
      <c r="AM18" s="874">
        <f>IF(ISNUMBER(((NºAsuntos!I18/NºAsuntos!G18)*11)/factor_trimestre),((NºAsuntos!I18/NºAsuntos!G18)*11)/factor_trimestre," - ")</f>
        <v>3.2740046838407495</v>
      </c>
      <c r="AN18" s="875">
        <f>IF(ISNUMBER('Resol  Asuntos'!D18/NºAsuntos!G18),'Resol  Asuntos'!D18/NºAsuntos!G18," - ")</f>
        <v>0.13348946135831383</v>
      </c>
      <c r="AO18" s="876">
        <f>IF(ISNUMBER((NºAsuntos!C18+NºAsuntos!E18)/NºAsuntos!G18),(NºAsuntos!C18+NºAsuntos!E18)/NºAsuntos!G18," - ")</f>
        <v>2.1252927400468384</v>
      </c>
      <c r="AP18" s="877" t="str">
        <f t="shared" si="2"/>
        <v xml:space="preserve"> - </v>
      </c>
      <c r="AQ18" s="877">
        <f>IF(ISNUMBER((H18-W18+K18)/(F18)),(H18-W18+K18)/(F18)," - ")</f>
        <v>-0.77075812274368227</v>
      </c>
      <c r="AR18" s="878">
        <f>IF(ISNUMBER((Datos!P18-Datos!Q18)/(Datos!R18-Datos!P18+Datos!Q18)),(Datos!P18-Datos!Q18)/(Datos!R18-Datos!P18+Datos!Q18)," - ")</f>
        <v>0.17241379310344829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1110</v>
      </c>
      <c r="G19" s="821">
        <f t="shared" si="13"/>
        <v>1152</v>
      </c>
      <c r="H19" s="820">
        <f t="shared" si="13"/>
        <v>0</v>
      </c>
      <c r="I19" s="822">
        <f t="shared" si="13"/>
        <v>0</v>
      </c>
      <c r="J19" s="822">
        <f t="shared" si="13"/>
        <v>0</v>
      </c>
      <c r="K19" s="881">
        <f t="shared" si="13"/>
        <v>0</v>
      </c>
      <c r="L19" s="822">
        <f t="shared" si="13"/>
        <v>183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856</v>
      </c>
      <c r="X19" s="821">
        <f t="shared" si="14"/>
        <v>139</v>
      </c>
      <c r="Y19" s="828">
        <f t="shared" si="14"/>
        <v>995</v>
      </c>
      <c r="Z19" s="828">
        <f t="shared" si="14"/>
        <v>0</v>
      </c>
      <c r="AA19" s="828">
        <f t="shared" si="14"/>
        <v>932</v>
      </c>
      <c r="AB19" s="828">
        <f t="shared" si="14"/>
        <v>2787</v>
      </c>
      <c r="AC19" s="828">
        <f t="shared" si="14"/>
        <v>1070</v>
      </c>
      <c r="AD19" s="828">
        <f t="shared" si="14"/>
        <v>0</v>
      </c>
      <c r="AE19" s="830">
        <f t="shared" si="14"/>
        <v>0</v>
      </c>
      <c r="AF19" s="831">
        <f t="shared" si="14"/>
        <v>0</v>
      </c>
      <c r="AG19" s="832">
        <f t="shared" si="14"/>
        <v>0</v>
      </c>
      <c r="AH19" s="830">
        <f t="shared" si="14"/>
        <v>0</v>
      </c>
      <c r="AI19" s="820">
        <f t="shared" si="14"/>
        <v>354</v>
      </c>
      <c r="AJ19" s="820">
        <f t="shared" si="14"/>
        <v>0</v>
      </c>
      <c r="AK19" s="830">
        <f t="shared" si="14"/>
        <v>0</v>
      </c>
      <c r="AL19" s="884">
        <f>IF(ISNUMBER(NºAsuntos!G19/NºAsuntos!E19),NºAsuntos!G19/NºAsuntos!E19," - ")</f>
        <v>1.0776906628652887</v>
      </c>
      <c r="AM19" s="885">
        <f>IF(ISNUMBER(((NºAsuntos!I19/NºAsuntos!G19)*11)/factor_trimestre),((NºAsuntos!I19/NºAsuntos!G19)*11)/factor_trimestre," - ")</f>
        <v>5.2936507936507944</v>
      </c>
      <c r="AN19" s="885">
        <f>IF(ISNUMBER('Resol  Asuntos'!D19/NºAsuntos!G19),'Resol  Asuntos'!D19/NºAsuntos!G19," - ")</f>
        <v>0.23412698412698413</v>
      </c>
      <c r="AO19" s="886">
        <f>IF(ISNUMBER((NºAsuntos!C19+NºAsuntos!E19)/NºAsuntos!G19),(NºAsuntos!C19+NºAsuntos!E19)/NºAsuntos!G19," - ")</f>
        <v>2.7863756613756614</v>
      </c>
      <c r="AP19" s="887" t="str">
        <f t="shared" si="2"/>
        <v xml:space="preserve"> - </v>
      </c>
      <c r="AQ19" s="888">
        <f>IF(OR(ISNUMBER(FIND("01",Criterios!A8,1)),ISNUMBER(FIND("02",Criterios!A8,1)),ISNUMBER(FIND("03",Criterios!A8,1)),ISNUMBER(FIND("04",Criterios!A8,1))),(I19-W19+K19)/(F19-K19),(H19-W19+K19)/(F19-K19))</f>
        <v>-0.77117117117117118</v>
      </c>
      <c r="AR19" s="889">
        <f>IF(ISNUMBER((Datos!P19-Datos!Q19)/(Datos!R19-Datos!P19+Datos!Q19)),(Datos!P19-Datos!Q19)/(Datos!R19-Datos!P19+Datos!Q19)," - ")</f>
        <v>1.6040831206707983E-2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638.54939772372609</v>
      </c>
      <c r="G21" s="253">
        <f>IF(ISNUMBER(STDEV(G8:G18)),STDEV(G8:G18),"-")</f>
        <v>623.25011030885503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462.48545923088221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106.92988356862641</v>
      </c>
      <c r="AJ21" s="252">
        <f t="shared" si="18"/>
        <v>0</v>
      </c>
      <c r="AK21" s="254">
        <f t="shared" si="18"/>
        <v>0</v>
      </c>
      <c r="AL21" s="249">
        <f t="shared" si="18"/>
        <v>0.66205312732581334</v>
      </c>
      <c r="AM21" s="250">
        <f t="shared" si="18"/>
        <v>3.2075564478360801</v>
      </c>
      <c r="AN21" s="250">
        <f t="shared" si="18"/>
        <v>0.18868982527230793</v>
      </c>
      <c r="AO21" s="251">
        <f t="shared" si="18"/>
        <v>1.0687968420988783</v>
      </c>
      <c r="AP21" s="291" t="str">
        <f t="shared" si="18"/>
        <v>-</v>
      </c>
      <c r="AQ21" s="292">
        <f t="shared" si="18"/>
        <v>0.16209848593987772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aOj2RGG4bVbTod1jxgl6iuxGe+W2nG/BlvGdUTGI8+v/09N0mwVipqM6yB87PsBC5B43zQ6Bq6B9smAzyLHqQ==" saltValue="mTHtfspsy0nib0ytzpqm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NAVALMORAL DE LA MATA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t="str">
        <f>IF(ISNUMBER((Datos!J10-Datos!T10)/Datos!T10),(Datos!J10-Datos!T10)/Datos!T10," - ")</f>
        <v xml:space="preserve"> - </v>
      </c>
      <c r="F10" s="348">
        <f>IF(ISNUMBER((Datos!K10-Datos!U10)/Datos!U10),(Datos!K10-Datos!U10)/Datos!U10," - ")</f>
        <v>-0.33333333333333331</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-0.70000000000000007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0.67132867132867136</v>
      </c>
      <c r="I12" s="350">
        <f>IF(ISNUMBER((Tasas!C12-Datos!BE12)/Datos!BE12),(Tasas!C12-Datos!BE12)/Datos!BE12," - ")</f>
        <v>5.0185687042055317E-3</v>
      </c>
      <c r="J12" s="349">
        <f>IF(ISNUMBER((Tasas!D12-Datos!BF12)/Datos!BF12),(Tasas!D12-Datos!BF12)/Datos!BF12," - ")</f>
        <v>-8.4215146626174422E-2</v>
      </c>
      <c r="K12" s="351">
        <f>IF(ISNUMBER((Tasas!E12-Datos!BG12)/Datos!BG12),(Tasas!E12-Datos!BG12)/Datos!BG12," - ")</f>
        <v>4.8873976814725936E-3</v>
      </c>
      <c r="M12" t="e">
        <f>IF(Monitorios="SI",Datos!CE12,0)</f>
        <v>#REF!</v>
      </c>
      <c r="N12" t="e">
        <f>IF(Monitorios="SI",Datos!CF12,0)</f>
        <v>#REF!</v>
      </c>
      <c r="O12" t="e">
        <f>IF(Monitorios="SI",Datos!CG12,0)</f>
        <v>#REF!</v>
      </c>
      <c r="P12" t="e">
        <f>IF(Monitorios="SI",Datos!CH12,0)</f>
        <v>#REF!</v>
      </c>
      <c r="Q12">
        <f>IF(J_V="SI",0,Datos!AG12)</f>
        <v>75</v>
      </c>
      <c r="R12">
        <f>IF(J_V="SI",0,Datos!AH12)</f>
        <v>31</v>
      </c>
      <c r="S12">
        <f>IF(J_V="SI",0,Datos!AI12)</f>
        <v>39</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0.67832167832167833</v>
      </c>
      <c r="I13" s="357">
        <f>IF(ISNUMBER((Tasas!C13-Datos!BE13)/Datos!BE13),(Tasas!C13-Datos!BE13)/Datos!BE13," - ")</f>
        <v>2.4914046539437403E-3</v>
      </c>
      <c r="J13" s="355">
        <f>IF(ISNUMBER((Tasas!D13-Datos!BF13)/Datos!BF13),(Tasas!D13-Datos!BF13)/Datos!BF13," - ")</f>
        <v>-7.8920913509869545E-2</v>
      </c>
      <c r="K13" s="358">
        <f>IF(ISNUMBER((Tasas!E13-Datos!BG13)/Datos!BG13),(Tasas!E13-Datos!BG13)/Datos!BG13," - ")</f>
        <v>3.0536929188870543E-3</v>
      </c>
      <c r="M13" t="e">
        <f>IF(Monitorios="SI",Datos!CE13,0)</f>
        <v>#REF!</v>
      </c>
      <c r="N13" t="e">
        <f>IF(Monitorios="SI",Datos!CF13,0)</f>
        <v>#REF!</v>
      </c>
      <c r="O13" t="e">
        <f>IF(Monitorios="SI",Datos!CG13,0)</f>
        <v>#REF!</v>
      </c>
      <c r="P13" t="e">
        <f>IF(Monitorios="SI",Datos!CH13,0)</f>
        <v>#REF!</v>
      </c>
      <c r="Q13">
        <f>IF(J_V="SI",0,Datos!AG13)</f>
        <v>75</v>
      </c>
      <c r="R13">
        <f>IF(J_V="SI",0,Datos!AH13)</f>
        <v>31</v>
      </c>
      <c r="S13">
        <f>IF(J_V="SI",0,Datos!AI13)</f>
        <v>39</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-0.19074733096085408</v>
      </c>
      <c r="E16" s="348">
        <f>IF(ISNUMBER(
   IF(D_I="SI",(Datos!J16-Datos!T16)/Datos!T16,(Datos!J16+Datos!AD16-(Datos!T16+Datos!AL16))/(Datos!T16+Datos!AL16))
     ),IF(D_I="SI",(Datos!J16-Datos!T16)/Datos!T16,(Datos!J16+Datos!AD16-(Datos!T16+Datos!AL16))/(Datos!T16+Datos!AL16))," - ")</f>
        <v>-3.0791788856304986E-2</v>
      </c>
      <c r="F16" s="348">
        <f>IF(ISNUMBER(
   IF(D_I="SI",(Datos!K16-Datos!U16)/Datos!U16,(Datos!K16+Datos!AE16-(Datos!U16+Datos!AM16))/(Datos!U16+Datos!AM16))
     ),IF(D_I="SI",(Datos!K16-Datos!U16)/Datos!U16,(Datos!K16+Datos!AE16-(Datos!U16+Datos!AM16))/(Datos!U16+Datos!AM16))," - ")</f>
        <v>0.12683578104138851</v>
      </c>
      <c r="G16" s="349">
        <f>IF(ISNUMBER(
   IF(D_I="SI",(Datos!L16-Datos!V16)/Datos!V16,(Datos!L16+Datos!AF16-(Datos!V16+Datos!AN16))/(Datos!V16+Datos!AN16))
     ),IF(D_I="SI",(Datos!L16-Datos!V16)/Datos!V16,(Datos!L16+Datos!AF16-(Datos!V16+Datos!AN16))/(Datos!V16+Datos!AN16))," - ")</f>
        <v>-0.28736517719568566</v>
      </c>
      <c r="H16" s="230">
        <f>IF(ISNUMBER((Datos!M16-Datos!W16)/Datos!W16),(Datos!M16-Datos!W16)/Datos!W16," - ")</f>
        <v>0.31034482758620691</v>
      </c>
      <c r="I16" s="350">
        <f>IF(ISNUMBER((Tasas!C16-Datos!BE16)/Datos!BE16),(Tasas!C16-Datos!BE16)/Datos!BE16," - ")</f>
        <v>-0.3675788124639438</v>
      </c>
      <c r="J16" s="349">
        <f>IF(ISNUMBER((Tasas!D16-Datos!BF16)/Datos!BF16),(Tasas!D16-Datos!BF16)/Datos!BF16," - ")</f>
        <v>0.16285340741951301</v>
      </c>
      <c r="K16" s="351">
        <f>IF(ISNUMBER((Tasas!E16-Datos!BG16)/Datos!BG16),(Tasas!E16-Datos!BG16)/Datos!BG16," - ")</f>
        <v>-0.23544873818288348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-0.79365079365079361</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-0.62962962962962965</v>
      </c>
      <c r="G17" s="349">
        <f>IF(ISNUMBER(
   IF(D_I="SI",(Datos!L17-Datos!V17)/Datos!V17,(Datos!L17+Datos!AF17-(Datos!V17+Datos!AN17))/(Datos!V17+Datos!AN17))
     ),IF(D_I="SI",(Datos!L17-Datos!V17)/Datos!V17,(Datos!L17+Datos!AF17-(Datos!V17+Datos!AN17))/(Datos!V17+Datos!AN17))," - ")</f>
        <v>-0.83333333333333337</v>
      </c>
      <c r="H17" s="230">
        <f>IF(ISNUMBER((Datos!M17-Datos!W17)/Datos!W17),(Datos!M17-Datos!W17)/Datos!W17," - ")</f>
        <v>-1</v>
      </c>
      <c r="I17" s="350">
        <f>IF(ISNUMBER((Tasas!C17-Datos!BE17)/Datos!BE17),(Tasas!C17-Datos!BE17)/Datos!BE17," - ")</f>
        <v>-0.55000000000000004</v>
      </c>
      <c r="J17" s="349">
        <f>IF(ISNUMBER((Tasas!D17-Datos!BF17)/Datos!BF17),(Tasas!D17-Datos!BF17)/Datos!BF17," - ")</f>
        <v>-1</v>
      </c>
      <c r="K17" s="351">
        <f>IF(ISNUMBER((Tasas!E17-Datos!BG17)/Datos!BG17),(Tasas!E17-Datos!BG17)/Datos!BG17," - ")</f>
        <v>-0.33478260869565213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-0.21662125340599456</v>
      </c>
      <c r="E18" s="354">
        <f>IF(ISNUMBER(
   IF(D_I="SI",(Datos!J18-Datos!T18)/Datos!T18,(Datos!J18+Datos!AD18-(Datos!T18+Datos!AL18))/(Datos!T18+Datos!AL18))
     ),IF(D_I="SI",(Datos!J18-Datos!T18)/Datos!T18,(Datos!J18+Datos!AD18-(Datos!T18+Datos!AL18))/(Datos!T18+Datos!AL18))," - ")</f>
        <v>-3.3430232558139532E-2</v>
      </c>
      <c r="F18" s="354">
        <f>IF(ISNUMBER(
   IF(D_I="SI",(Datos!K18-Datos!U18)/Datos!U18,(Datos!K18+Datos!AE18-(Datos!U18+Datos!AM18))/(Datos!U18+Datos!AM18))
     ),IF(D_I="SI",(Datos!K18-Datos!U18)/Datos!U18,(Datos!K18+Datos!AE18-(Datos!U18+Datos!AM18))/(Datos!U18+Datos!AM18))," - ")</f>
        <v>0.10051546391752578</v>
      </c>
      <c r="G18" s="355">
        <f>IF(ISNUMBER(
   IF(D_I="SI",(Datos!L18-Datos!V18)/Datos!V18,(Datos!L18+Datos!AF18-(Datos!V18+Datos!AN18))/(Datos!V18+Datos!AN18))
     ),IF(D_I="SI",(Datos!L18-Datos!V18)/Datos!V18,(Datos!L18+Datos!AF18-(Datos!V18+Datos!AN18))/(Datos!V18+Datos!AN18))," - ")</f>
        <v>-0.30447761194029849</v>
      </c>
      <c r="H18" s="356">
        <f>IF(ISNUMBER((Datos!M18-Datos!W18)/Datos!W18),(Datos!M18-Datos!W18)/Datos!W18," - ")</f>
        <v>0.2808988764044944</v>
      </c>
      <c r="I18" s="357">
        <f>IF(ISNUMBER((Tasas!C18-Datos!BE18)/Datos!BE18),(Tasas!C18-Datos!BE18)/Datos!BE18," - ")</f>
        <v>-0.368003075955119</v>
      </c>
      <c r="J18" s="355">
        <f>IF(ISNUMBER((Tasas!D18-Datos!BF18)/Datos!BF18),(Tasas!D18-Datos!BF18)/Datos!BF18," - ")</f>
        <v>0.16390811251743298</v>
      </c>
      <c r="K18" s="358">
        <f>IF(ISNUMBER((Tasas!E18-Datos!BG18)/Datos!BG18),(Tasas!E18-Datos!BG18)/Datos!BG18," - ")</f>
        <v>-0.23505233475123066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-0.13591635916359163</v>
      </c>
      <c r="E19" s="363">
        <f>IF(ISNUMBER(
   IF(J_V="SI",(Datos!J19-Datos!T19)/Datos!T19,(Datos!J19+Datos!Z19-(Datos!T19+Datos!AH19))/(Datos!T19+Datos!AH19))
     ),IF(J_V="SI",(Datos!J19-Datos!T19)/Datos!T19,(Datos!J19+Datos!Z19-(Datos!T19+Datos!AH19))/(Datos!T19+Datos!AH19))," - ")</f>
        <v>0.11172741679873217</v>
      </c>
      <c r="F19" s="363">
        <f>IF(ISNUMBER(
   IF(J_V="SI",(Datos!K19-Datos!U19)/Datos!U19,(Datos!K19+Datos!AA19-(Datos!U19+Datos!AI19))/(Datos!U19+Datos!AI19))
     ),IF(J_V="SI",(Datos!K19-Datos!U19)/Datos!U19,(Datos!K19+Datos!AA19-(Datos!U19+Datos!AI19))/(Datos!U19+Datos!AI19))," - ")</f>
        <v>6.1052631578947365E-2</v>
      </c>
      <c r="G19" s="364">
        <f>IF(ISNUMBER(
   IF(J_V="SI",(Datos!L19-Datos!V19)/Datos!V19,(Datos!L19+Datos!AB19-(Datos!V19+Datos!AJ19))/(Datos!V19+Datos!AJ19))
     ),IF(J_V="SI",(Datos!L19-Datos!V19)/Datos!V19,(Datos!L19+Datos!AB19-(Datos!V19+Datos!AJ19))/(Datos!V19+Datos!AJ19))," - ")</f>
        <v>-0.12467191601049869</v>
      </c>
      <c r="H19" s="365">
        <f>IF(ISNUMBER((Datos!M19-Datos!W19)/Datos!W19),(Datos!M19-Datos!W19)/Datos!W19," - ")</f>
        <v>0.52586206896551724</v>
      </c>
      <c r="I19" s="362">
        <f>IF(ISNUMBER((Tasas!C19-Datos!BE19)/Datos!BE19),(Tasas!C19-Datos!BE19)/Datos!BE19," - ")</f>
        <v>-0.17503801608132316</v>
      </c>
      <c r="J19" s="363">
        <f>IF(ISNUMBER((Tasas!D19-Datos!BF19)/Datos!BF19),(Tasas!D19-Datos!BF19)/Datos!BF19," - ")</f>
        <v>-3.5748692540600008E-2</v>
      </c>
      <c r="K19" s="364">
        <f>IF(ISNUMBER((Tasas!E19-Datos!BG19)/Datos!BG19),(Tasas!E19-Datos!BG19)/Datos!BG19," - ")</f>
        <v>-0.12038428944166646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0.34262285200974796</v>
      </c>
      <c r="E21" s="278">
        <f t="shared" si="1"/>
        <v>0.17391579254258341</v>
      </c>
      <c r="F21" s="278">
        <f t="shared" si="1"/>
        <v>0.36444208755364377</v>
      </c>
      <c r="G21" s="279">
        <f t="shared" si="1"/>
        <v>0.36485613577280507</v>
      </c>
      <c r="H21" s="285">
        <f t="shared" si="1"/>
        <v>0.6908263622228924</v>
      </c>
      <c r="I21" s="277">
        <f t="shared" si="1"/>
        <v>0.37633404453550867</v>
      </c>
      <c r="J21" s="278">
        <f t="shared" si="1"/>
        <v>0.48135312631918764</v>
      </c>
      <c r="K21" s="279">
        <f t="shared" si="1"/>
        <v>0.26043265643172053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G1y7gZuizbkWo8aYbHSiJszjTZGOMHHorfTyKV/wOgmsocZGDtSIPNpme/mfLEo9QNiIVG5+p1MW0fCvjjAkw==" saltValue="5yGwfETyJ7/4loE2/kiX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